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1kFqIOdQsyJnCf59HbUkluecfDsBs9H9fGX2sROJsInzHa/I6s5d0uCT0skJZmUmEVdixp5u4h0/ioPlBB5rrg==" workbookSaltValue="HfaVbSrgns2r4bCAYtRw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T32" i="21"/>
  <c r="AF32" i="20"/>
  <c r="S32" i="20"/>
  <c r="AQ32" i="21"/>
  <c r="AJ32" i="20"/>
  <c r="G30" i="14"/>
  <c r="G23" i="14"/>
  <c r="U18" i="11"/>
  <c r="AX32" i="20"/>
  <c r="Y32" i="20"/>
  <c r="L32" i="20"/>
  <c r="AG32" i="20"/>
  <c r="H32" i="20"/>
  <c r="F32" i="20"/>
  <c r="G26" i="14"/>
  <c r="K32" i="20"/>
  <c r="O17" i="11"/>
  <c r="T31" i="8" l="1"/>
  <c r="BG17" i="13"/>
  <c r="R8" i="9"/>
  <c r="BH30" i="16" s="1"/>
  <c r="AA10" i="16"/>
  <c r="AA20" i="16"/>
  <c r="S12" i="14"/>
  <c r="V12" i="14" s="1"/>
  <c r="R10" i="14"/>
  <c r="R29" i="14"/>
  <c r="T29" i="11"/>
  <c r="T20" i="11"/>
  <c r="AA29" i="16"/>
  <c r="X22" i="17"/>
  <c r="X10" i="17"/>
  <c r="X16" i="17"/>
  <c r="X11" i="17"/>
  <c r="X18" i="20"/>
  <c r="X20" i="20"/>
  <c r="V16" i="16"/>
  <c r="T19" i="20"/>
  <c r="X25" i="16"/>
  <c r="X30" i="16" s="1"/>
  <c r="X22" i="20"/>
  <c r="X17" i="20"/>
  <c r="AZ12" i="11"/>
  <c r="AZ22" i="11"/>
  <c r="L11" i="2"/>
  <c r="L19" i="2"/>
  <c r="L25" i="2"/>
  <c r="X9" i="16"/>
  <c r="X31"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K9" i="12"/>
  <c r="AQ14" i="21"/>
  <c r="K17" i="12"/>
  <c r="AM22" i="11"/>
  <c r="AM13" i="11"/>
  <c r="AO10" i="17"/>
  <c r="AO30" i="17"/>
  <c r="BH26" i="16"/>
  <c r="BF23" i="13"/>
  <c r="AM17" i="11"/>
  <c r="AQ26" i="21"/>
  <c r="AO26" i="17"/>
  <c r="X12" i="16"/>
  <c r="L29" i="2"/>
  <c r="L21" i="2"/>
  <c r="L13" i="2"/>
  <c r="AZ28" i="11"/>
  <c r="AZ20" i="11"/>
  <c r="V21" i="16"/>
  <c r="U10" i="21"/>
  <c r="AA9" i="16"/>
  <c r="V16" i="20"/>
  <c r="V23" i="20" s="1"/>
  <c r="V19" i="16"/>
  <c r="AA12" i="21"/>
  <c r="X19" i="20"/>
  <c r="T18" i="20"/>
  <c r="X9" i="17"/>
  <c r="AA18" i="16"/>
  <c r="X13" i="17"/>
  <c r="AA17" i="16"/>
  <c r="X25" i="17"/>
  <c r="S9" i="14"/>
  <c r="V9" i="14" s="1"/>
  <c r="T21" i="11"/>
  <c r="R17" i="14"/>
  <c r="S17" i="14"/>
  <c r="V17" i="14" s="1"/>
  <c r="S13" i="17"/>
  <c r="X21" i="17"/>
  <c r="T17" i="11"/>
  <c r="AA28" i="16"/>
  <c r="T18" i="11"/>
  <c r="S16" i="14"/>
  <c r="V16" i="14" s="1"/>
  <c r="T11" i="11"/>
  <c r="T25" i="11"/>
  <c r="T13" i="11"/>
  <c r="R19" i="14"/>
  <c r="R12" i="14"/>
  <c r="S29" i="14"/>
  <c r="V29" i="14" s="1"/>
  <c r="S19" i="14"/>
  <c r="V19" i="14" s="1"/>
  <c r="R13" i="14"/>
  <c r="R14" i="14" s="1"/>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H23" i="11" s="1"/>
  <c r="BF19" i="11"/>
  <c r="BH19" i="16"/>
  <c r="BJ19" i="11"/>
  <c r="P18" i="17"/>
  <c r="BL18" i="11"/>
  <c r="BM29" i="11"/>
  <c r="BI28" i="11"/>
  <c r="BF29" i="11"/>
  <c r="BK12" i="11"/>
  <c r="BH19" i="11"/>
  <c r="BF25" i="11"/>
  <c r="BK19" i="11"/>
  <c r="S18" i="16"/>
  <c r="BK9" i="11"/>
  <c r="BK14" i="11" s="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BH13" i="11"/>
  <c r="V20" i="11"/>
  <c r="BL13" i="11"/>
  <c r="Q13" i="11" s="1"/>
  <c r="BL25" i="11"/>
  <c r="BH18" i="11"/>
  <c r="BG19" i="11"/>
  <c r="BM16" i="11"/>
  <c r="AZ9" i="11"/>
  <c r="AO28" i="17"/>
  <c r="BL29" i="11"/>
  <c r="BJ25" i="11"/>
  <c r="T16" i="16"/>
  <c r="T23" i="16" s="1"/>
  <c r="T31" i="16" s="1"/>
  <c r="AZ16" i="11"/>
  <c r="AZ23" i="11" s="1"/>
  <c r="AZ26" i="11" s="1"/>
  <c r="BW20" i="20"/>
  <c r="BU16" i="17"/>
  <c r="BV19" i="16"/>
  <c r="BW19" i="20"/>
  <c r="BV18" i="16"/>
  <c r="X20" i="16"/>
  <c r="BW18" i="20"/>
  <c r="BU10" i="17"/>
  <c r="BV12" i="16"/>
  <c r="BW25" i="20"/>
  <c r="BW12" i="20"/>
  <c r="BU22" i="17"/>
  <c r="BV16" i="16"/>
  <c r="U13" i="17"/>
  <c r="BW16" i="20"/>
  <c r="BU20" i="17"/>
  <c r="U10" i="17"/>
  <c r="BW29" i="20"/>
  <c r="BV10" i="16"/>
  <c r="AO29" i="17"/>
  <c r="X22" i="16"/>
  <c r="V9" i="16"/>
  <c r="BG16" i="11"/>
  <c r="BW22" i="20"/>
  <c r="BV29" i="16"/>
  <c r="BW21" i="20"/>
  <c r="BV9" i="16"/>
  <c r="AZ17" i="11"/>
  <c r="BG12" i="11"/>
  <c r="BI20" i="11"/>
  <c r="BI9" i="11"/>
  <c r="BL28" i="11"/>
  <c r="BL10" i="11"/>
  <c r="BH10" i="16"/>
  <c r="BH11" i="11"/>
  <c r="S18" i="17"/>
  <c r="BM9" i="11"/>
  <c r="Q9" i="11" s="1"/>
  <c r="BH12" i="16"/>
  <c r="BK22" i="11"/>
  <c r="L22" i="2"/>
  <c r="S16" i="17"/>
  <c r="S17" i="17"/>
  <c r="X19" i="16"/>
  <c r="U9" i="17"/>
  <c r="U31" i="17" s="1"/>
  <c r="BU18" i="17"/>
  <c r="V12" i="16"/>
  <c r="BU12" i="17"/>
  <c r="S28" i="17"/>
  <c r="T16" i="11"/>
  <c r="Q18" i="17"/>
  <c r="Q23" i="17" s="1"/>
  <c r="Q31" i="17" s="1"/>
  <c r="BH10" i="11"/>
  <c r="AQ10" i="21"/>
  <c r="S10" i="17"/>
  <c r="BI29" i="11"/>
  <c r="BG17" i="11"/>
  <c r="BM21" i="11"/>
  <c r="Q21" i="11" s="1"/>
  <c r="AO25" i="17"/>
  <c r="BJ17" i="11"/>
  <c r="BL17" i="11"/>
  <c r="BH22" i="11"/>
  <c r="X12" i="17"/>
  <c r="L12" i="2"/>
  <c r="X10" i="21"/>
  <c r="L20" i="2"/>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AX32" i="21"/>
  <c r="BP32" i="16"/>
  <c r="O32" i="20"/>
  <c r="AW32" i="11"/>
  <c r="AV32" i="21"/>
  <c r="O12" i="11"/>
  <c r="H32" i="17"/>
  <c r="S30" i="14" l="1"/>
  <c r="Q28" i="11"/>
  <c r="BH14" i="11"/>
  <c r="BI23" i="11"/>
  <c r="U14" i="17"/>
  <c r="Q31" i="20"/>
  <c r="BL23" i="11"/>
  <c r="Q17" i="11"/>
  <c r="P29" i="11"/>
  <c r="Q25" i="11"/>
  <c r="P23" i="17"/>
  <c r="P31" i="17" s="1"/>
  <c r="BU33" i="17"/>
  <c r="P9"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<sst xmlns="http://schemas.openxmlformats.org/spreadsheetml/2006/main" count="2654" uniqueCount="1183">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</sst>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yrc0sPegBIun60C3d9k0DewuMVZ23mNUxYsA9fvQR7PLcp4E8Im7KSHuqp3f38DU1kvOde882/KB7+YIp+Ifg==" saltValue="A8f/IUrZ0VQT4uiAr3CL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CASTILLA-LA MANCHA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35.934386973180075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145</v>
      </c>
      <c r="D10" s="239">
        <f>IF(ISNUMBER(Datos!I10),Datos!I10," - ")</f>
        <v>145</v>
      </c>
      <c r="E10" s="240">
        <f>IF(ISNUMBER(Datos!J10),Datos!J10," - ")</f>
        <v>13</v>
      </c>
      <c r="F10" s="240">
        <f>IF(ISNUMBER(Datos!K10),Datos!K10," - ")</f>
        <v>12</v>
      </c>
      <c r="G10" s="1390" t="str">
        <f>IF(Datos!E10&lt;&gt;"",Datos!E10,Datos!D10)</f>
        <v>37</v>
      </c>
      <c r="H10" s="241">
        <f>IF(ISNUMBER(Datos!L10),Datos!L10," - ")</f>
        <v>146</v>
      </c>
      <c r="I10" s="1400" t="str">
        <f>IF(ISNUMBER(Datos!AS10/Datos!BM10),Datos!AS10/Datos!BM10," - ")</f>
        <v xml:space="preserve"> - </v>
      </c>
      <c r="J10" s="1401">
        <f>IF(ISNUMBER(Datos!BY10/Datos!CN10),Datos!BY10/Datos!CN10," - ")</f>
        <v>0</v>
      </c>
      <c r="K10" s="244">
        <f t="shared" ref="K10:K13" si="1">IF(ISNUMBER((E10-F10)/C10),(E10-F10)/C10," - ")</f>
        <v>6.8965517241379309E-3</v>
      </c>
      <c r="L10" s="1402">
        <f>IF(ISNUMBER(NºAsuntos!I10/NºAsuntos!G10),(NºAsuntos!I10/NºAsuntos!G10)*11," - ")</f>
        <v>133.83333333333331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68.503731343283576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145</v>
      </c>
      <c r="D14" s="1407">
        <f>SUBTOTAL(9,D9:D13)</f>
        <v>145</v>
      </c>
      <c r="E14" s="1408">
        <f>SUBTOTAL(9,E9:E13)</f>
        <v>13</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2164</v>
      </c>
      <c r="D16" s="239">
        <f>IF(ISNUMBER(IF(D_I="SI",Datos!I16,Datos!I16+Datos!AC16)),IF(D_I="SI",Datos!I16,Datos!I16+Datos!AC16)," - ")</f>
        <v>2143</v>
      </c>
      <c r="E16" s="240">
        <f>IF(ISNUMBER(IF(D_I="SI",Datos!J16,Datos!J16+Datos!AD16)),IF(D_I="SI",Datos!J16,Datos!J16+Datos!AD16)," - ")</f>
        <v>2503</v>
      </c>
      <c r="F16" s="240">
        <f>IF(ISNUMBER(IF(D_I="SI",Datos!K16,Datos!K16+Datos!AE16)),IF(D_I="SI",Datos!K16,Datos!K16+Datos!AE16)," - ")</f>
        <v>2492</v>
      </c>
      <c r="G16" s="1390" t="str">
        <f>IF(Datos!E16&lt;&gt;"",Datos!E16,Datos!D16)</f>
        <v>03</v>
      </c>
      <c r="H16" s="241">
        <f>IF(ISNUMBER(IF(D_I="SI",Datos!L16,Datos!L16+Datos!AF16)),IF(D_I="SI",Datos!L16,Datos!L16+Datos!AF16)," - ")</f>
        <v>2175</v>
      </c>
      <c r="I16" s="1400" t="str">
        <f>IF(ISNUMBER(Datos!AS16/Datos!BM16),Datos!AS16/Datos!BM16," - ")</f>
        <v xml:space="preserve"> - </v>
      </c>
      <c r="J16" s="1401">
        <f>IF(ISNUMBER(Datos!BY16/Datos!CN16),Datos!BY16/Datos!CN16," - ")</f>
        <v>0</v>
      </c>
      <c r="K16" s="244">
        <f t="shared" ref="K16:K22" si="3">IF(ISNUMBER((E16-F16)/C16),(E16-F16)/C16," - ")</f>
        <v>5.0831792975970427E-3</v>
      </c>
      <c r="L16" s="1402">
        <f>IF(ISNUMBER(NºAsuntos!I16/NºAsuntos!G16),(NºAsuntos!I16/NºAsuntos!G16)*11," - ")</f>
        <v>9.6007223113964688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300</v>
      </c>
      <c r="D18" s="239">
        <f>IF(ISNUMBER(IF(D_I="SI",Datos!I18,Datos!I18+Datos!AC18)),IF(D_I="SI",Datos!I18,Datos!I18+Datos!AC18)," - ")</f>
        <v>293</v>
      </c>
      <c r="E18" s="240">
        <f>IF(ISNUMBER(IF(D_I="SI",Datos!J18,Datos!J18+Datos!AD18)),IF(D_I="SI",Datos!J18,Datos!J18+Datos!AD18)," - ")</f>
        <v>221</v>
      </c>
      <c r="F18" s="240">
        <f>IF(ISNUMBER(IF(D_I="SI",Datos!K18,Datos!K18+Datos!AE18)),IF(D_I="SI",Datos!K18,Datos!K18+Datos!AE18)," - ")</f>
        <v>202</v>
      </c>
      <c r="G18" s="1390" t="str">
        <f>IF(Datos!E18&lt;&gt;"",Datos!E18,Datos!D18)</f>
        <v>37</v>
      </c>
      <c r="H18" s="241">
        <f>IF(ISNUMBER(IF(D_I="SI",Datos!L18,Datos!L18+Datos!AF18)),IF(D_I="SI",Datos!L18,Datos!L18+Datos!AF18)," - ")</f>
        <v>319</v>
      </c>
      <c r="I18" s="1400" t="str">
        <f>IF(ISNUMBER(Datos!AS18/Datos!BM18),Datos!AS18/Datos!BM18," - ")</f>
        <v xml:space="preserve"> - </v>
      </c>
      <c r="J18" s="1401" t="str">
        <f>IF(ISNUMBER((Datos!BY18+Datos!BZ18)/Datos!CN18),(Datos!BY18+Datos!BZ18)/Datos!CN18," - ")</f>
        <v xml:space="preserve"> - </v>
      </c>
      <c r="K18" s="244">
        <f t="shared" si="3"/>
        <v>6.3333333333333339E-2</v>
      </c>
      <c r="L18" s="1402">
        <f>IF(ISNUMBER(NºAsuntos!I18/NºAsuntos!G18),(NºAsuntos!I18/NºAsuntos!G18)*11," - ")</f>
        <v>17.371287128712872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2464</v>
      </c>
      <c r="D23" s="1407">
        <f>SUBTOTAL(9,D16:D22)</f>
        <v>2436</v>
      </c>
      <c r="E23" s="1408">
        <f>SUBTOTAL(9,E16:E22)</f>
        <v>2724</v>
      </c>
      <c r="F23" s="1408">
        <f>SUBTOTAL(9,F16:F22)</f>
        <v>2694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2609</v>
      </c>
      <c r="D31" s="1435">
        <f>SUBTOTAL(9,D9:D30)</f>
        <v>2581</v>
      </c>
      <c r="E31" s="1436">
        <f>SUBTOTAL(9,E9:E30)</f>
        <v>2737</v>
      </c>
      <c r="F31" s="1436">
        <f>SUBTOTAL(9,F9:F30)</f>
        <v>2706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zz9JZoqVh02bydqWp4CWLKbm0tVoYOOuMZlSXb5RRPvKlCtL/Q/cCsqiNlLQrE7JBs7Rt4pagfP2dqQVjy9Wqw==" saltValue="YEm+rHpW0cf6cyLbnk85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L6t8C0La7W72zYhH/Pvu5ZVWtTMiXOj1cofobsOOzozMumHzT5/Tnwlf32nuFxj8YGG3Xf8UPmtvFCWQWoBdWw==" saltValue="2xpk9GTwoQKsHHvk0QhC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6806</v>
      </c>
      <c r="J9" s="194">
        <v>1962</v>
      </c>
      <c r="K9" s="194">
        <v>1983</v>
      </c>
      <c r="L9" s="194">
        <v>6723</v>
      </c>
      <c r="M9" s="194">
        <v>376</v>
      </c>
      <c r="N9" s="194">
        <v>809</v>
      </c>
      <c r="O9" s="194">
        <v>814</v>
      </c>
      <c r="P9" s="194">
        <v>509</v>
      </c>
      <c r="Q9" s="194">
        <v>551</v>
      </c>
      <c r="R9" s="194">
        <v>11964</v>
      </c>
      <c r="S9" s="194">
        <v>6479</v>
      </c>
      <c r="T9" s="194">
        <v>1725</v>
      </c>
      <c r="U9" s="194">
        <v>1680</v>
      </c>
      <c r="V9" s="194">
        <v>6481</v>
      </c>
      <c r="W9" s="194">
        <v>353</v>
      </c>
      <c r="X9" s="201">
        <v>788</v>
      </c>
      <c r="Y9" s="204">
        <v>96</v>
      </c>
      <c r="Z9" s="194">
        <v>107</v>
      </c>
      <c r="AA9" s="194">
        <v>105</v>
      </c>
      <c r="AB9" s="194">
        <v>98</v>
      </c>
      <c r="AC9" s="194">
        <v>0</v>
      </c>
      <c r="AD9" s="194">
        <v>0</v>
      </c>
      <c r="AE9" s="194">
        <v>0</v>
      </c>
      <c r="AF9" s="201">
        <v>0</v>
      </c>
      <c r="AG9" s="204">
        <v>154</v>
      </c>
      <c r="AH9" s="194">
        <v>87</v>
      </c>
      <c r="AI9" s="194">
        <v>77</v>
      </c>
      <c r="AJ9" s="205">
        <v>158</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6633</v>
      </c>
      <c r="AZ9" s="133">
        <f>IF(ISNUMBER(IF(J_V="SI",T9,T9+AH9)),IF(J_V="SI",T9,T9+AH9)," - ")</f>
        <v>1812</v>
      </c>
      <c r="BA9" s="134">
        <f>IF(ISNUMBER(IF(J_V="SI",U9,U9+AI9)),IF(J_V="SI",U9,U9+AI9)," - ")</f>
        <v>1757</v>
      </c>
      <c r="BB9" s="134">
        <f>IF(ISNUMBER(IF(J_V="SI",V9,V9+AJ9)),IF(J_V="SI",V9,V9+AJ9)," - ")</f>
        <v>6639</v>
      </c>
      <c r="BC9" s="135">
        <f>IF(ISNUMBER(X9),X9," - ")</f>
        <v>788</v>
      </c>
      <c r="BD9" s="136">
        <f>IF(ISNUMBER(BA9/AZ9),BA9/AZ9," - ")</f>
        <v>0.9696467991169978</v>
      </c>
      <c r="BE9" s="137">
        <f>IF(ISNUMBER(BB9/BA9),BB9/BA9, " - ")</f>
        <v>3.7785998861696073</v>
      </c>
      <c r="BF9" s="137">
        <f>IF(ISNUMBER(BC9/BA9),BC9/BA9, " - ")</f>
        <v>0.44849174729652819</v>
      </c>
      <c r="BG9" s="209">
        <f>IF(ISNUMBER((AY9+AZ9)/BA9),(AY9+AZ9)/BA9," - ")</f>
        <v>4.8064883323847472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145</v>
      </c>
      <c r="J10" s="194">
        <v>13</v>
      </c>
      <c r="K10" s="194">
        <v>12</v>
      </c>
      <c r="L10" s="194">
        <v>146</v>
      </c>
      <c r="M10" s="194">
        <v>6</v>
      </c>
      <c r="N10" s="194">
        <v>1</v>
      </c>
      <c r="O10" s="194">
        <v>2</v>
      </c>
      <c r="P10" s="194">
        <v>4</v>
      </c>
      <c r="Q10" s="194">
        <v>1</v>
      </c>
      <c r="R10" s="194">
        <v>99</v>
      </c>
      <c r="S10" s="194">
        <v>159</v>
      </c>
      <c r="T10" s="194">
        <v>30</v>
      </c>
      <c r="U10" s="194">
        <v>25</v>
      </c>
      <c r="V10" s="194">
        <v>164</v>
      </c>
      <c r="W10" s="194">
        <v>12</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159</v>
      </c>
      <c r="AZ10" s="139">
        <f t="shared" si="0"/>
        <v>30</v>
      </c>
      <c r="BA10" s="139">
        <f t="shared" si="0"/>
        <v>25</v>
      </c>
      <c r="BB10" s="139">
        <f t="shared" si="0"/>
        <v>164</v>
      </c>
      <c r="BC10" s="135">
        <f t="shared" si="0"/>
        <v>12</v>
      </c>
      <c r="BD10" s="136">
        <f>IF(ISNUMBER(BA10/AZ10),BA10/AZ10," - ")</f>
        <v>0.83333333333333337</v>
      </c>
      <c r="BE10" s="137">
        <f>IF(ISNUMBER(BB10/BA10),BB10/BA10, " - ")</f>
        <v>6.56</v>
      </c>
      <c r="BF10" s="137">
        <f>IF(ISNUMBER(BC10/BA10),BC10/BA10, " - ")</f>
        <v>0.48</v>
      </c>
      <c r="BG10" s="209">
        <f>IF(ISNUMBER((AY10+AZ10)/BA10),(AY10+AZ10)/BA10," - ")</f>
        <v>7.56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1236</v>
      </c>
      <c r="J11" s="196">
        <v>255</v>
      </c>
      <c r="K11" s="196">
        <v>208</v>
      </c>
      <c r="L11" s="196">
        <v>1283</v>
      </c>
      <c r="M11" s="196">
        <v>84</v>
      </c>
      <c r="N11" s="196">
        <v>96</v>
      </c>
      <c r="O11" s="194">
        <v>147</v>
      </c>
      <c r="P11" s="196">
        <v>43</v>
      </c>
      <c r="Q11" s="196">
        <v>130</v>
      </c>
      <c r="R11" s="196">
        <v>988</v>
      </c>
      <c r="S11" s="196">
        <v>1039</v>
      </c>
      <c r="T11" s="196">
        <v>249</v>
      </c>
      <c r="U11" s="196">
        <v>269</v>
      </c>
      <c r="V11" s="196">
        <v>1019</v>
      </c>
      <c r="W11" s="196">
        <v>148</v>
      </c>
      <c r="X11" s="202">
        <v>113</v>
      </c>
      <c r="Y11" s="204">
        <v>360</v>
      </c>
      <c r="Z11" s="194">
        <v>86</v>
      </c>
      <c r="AA11" s="194">
        <v>60</v>
      </c>
      <c r="AB11" s="194">
        <v>386</v>
      </c>
      <c r="AC11" s="196">
        <v>0</v>
      </c>
      <c r="AD11" s="196">
        <v>0</v>
      </c>
      <c r="AE11" s="196">
        <v>0</v>
      </c>
      <c r="AF11" s="202">
        <v>0</v>
      </c>
      <c r="AG11" s="215">
        <v>363</v>
      </c>
      <c r="AH11" s="196">
        <v>103</v>
      </c>
      <c r="AI11" s="196">
        <v>72</v>
      </c>
      <c r="AJ11" s="216">
        <v>394</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1402</v>
      </c>
      <c r="AZ11" s="137">
        <f t="shared" si="1"/>
        <v>352</v>
      </c>
      <c r="BA11" s="137">
        <f t="shared" si="1"/>
        <v>341</v>
      </c>
      <c r="BB11" s="137">
        <f t="shared" si="1"/>
        <v>1413</v>
      </c>
      <c r="BC11" s="135">
        <f>IF(ISNUMBER(X11),X11," - ")</f>
        <v>113</v>
      </c>
      <c r="BD11" s="136">
        <f t="shared" ref="BD11:BD13" si="2">IF(ISNUMBER(BA11/AZ11),BA11/AZ11," - ")</f>
        <v>0.96875</v>
      </c>
      <c r="BE11" s="137">
        <f t="shared" ref="BE11:BE13" si="3">IF(ISNUMBER(BB11/BA11),BB11/BA11, " - ")</f>
        <v>4.1436950146627565</v>
      </c>
      <c r="BF11" s="137">
        <f t="shared" ref="BF11:BF13" si="4">IF(ISNUMBER(BC11/BA11),BC11/BA11, " - ")</f>
        <v>0.33137829912023459</v>
      </c>
      <c r="BG11" s="209">
        <f t="shared" ref="BG11:BG13" si="5">IF(ISNUMBER((AY11+AZ11)/BA11),(AY11+AZ11)/BA11," - ")</f>
        <v>5.1436950146627565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29</v>
      </c>
      <c r="S12" s="196">
        <v>8</v>
      </c>
      <c r="T12" s="196">
        <v>1</v>
      </c>
      <c r="U12" s="196">
        <v>0</v>
      </c>
      <c r="V12" s="196">
        <v>9</v>
      </c>
      <c r="W12" s="196">
        <v>0</v>
      </c>
      <c r="X12" s="202">
        <v>7</v>
      </c>
      <c r="Y12" s="204">
        <v>0</v>
      </c>
      <c r="Z12" s="194">
        <v>0</v>
      </c>
      <c r="AA12" s="194">
        <v>0</v>
      </c>
      <c r="AB12" s="194">
        <v>0</v>
      </c>
      <c r="AC12" s="196">
        <v>0</v>
      </c>
      <c r="AD12" s="196">
        <v>0</v>
      </c>
      <c r="AE12" s="196">
        <v>0</v>
      </c>
      <c r="AF12" s="202">
        <v>0</v>
      </c>
      <c r="AG12" s="215">
        <v>9</v>
      </c>
      <c r="AH12" s="196">
        <v>7</v>
      </c>
      <c r="AI12" s="196">
        <v>7</v>
      </c>
      <c r="AJ12" s="216">
        <v>9</v>
      </c>
      <c r="AK12" s="195">
        <v>0</v>
      </c>
      <c r="AL12" s="196">
        <v>0</v>
      </c>
      <c r="AM12" s="196">
        <v>0</v>
      </c>
      <c r="AN12" s="202">
        <v>0</v>
      </c>
      <c r="AO12" s="283">
        <v>0</v>
      </c>
      <c r="AP12" s="168">
        <v>0</v>
      </c>
      <c r="AQ12" s="168">
        <v>0</v>
      </c>
      <c r="AR12" s="167">
        <v>0</v>
      </c>
      <c r="AS12" s="381" t="s">
        <v>1069</v>
      </c>
      <c r="AT12" s="216"/>
      <c r="AU12" s="215"/>
      <c r="AV12" s="216"/>
      <c r="AW12" s="215"/>
      <c r="AX12" s="216"/>
      <c r="AY12" s="136">
        <f t="shared" si="1"/>
        <v>17</v>
      </c>
      <c r="AZ12" s="137">
        <f t="shared" si="1"/>
        <v>8</v>
      </c>
      <c r="BA12" s="137">
        <f t="shared" si="1"/>
        <v>7</v>
      </c>
      <c r="BB12" s="137">
        <f t="shared" si="1"/>
        <v>18</v>
      </c>
      <c r="BC12" s="135">
        <f>IF(ISNUMBER(X12),X12," - ")</f>
        <v>7</v>
      </c>
      <c r="BD12" s="136">
        <f t="shared" si="2"/>
        <v>0.875</v>
      </c>
      <c r="BE12" s="137">
        <f t="shared" si="3"/>
        <v>2.5714285714285716</v>
      </c>
      <c r="BF12" s="137">
        <f t="shared" si="4"/>
        <v>1</v>
      </c>
      <c r="BG12" s="209">
        <f t="shared" si="5"/>
        <v>3.5714285714285716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8187</v>
      </c>
      <c r="J14" s="197">
        <f t="shared" si="7"/>
        <v>2230</v>
      </c>
      <c r="K14" s="197">
        <f t="shared" si="7"/>
        <v>2203</v>
      </c>
      <c r="L14" s="197">
        <f t="shared" si="7"/>
        <v>8152</v>
      </c>
      <c r="M14" s="197">
        <f t="shared" si="7"/>
        <v>466</v>
      </c>
      <c r="N14" s="197">
        <f t="shared" si="7"/>
        <v>906</v>
      </c>
      <c r="O14" s="197">
        <f t="shared" si="7"/>
        <v>963</v>
      </c>
      <c r="P14" s="197">
        <f t="shared" si="7"/>
        <v>556</v>
      </c>
      <c r="Q14" s="197">
        <f t="shared" si="7"/>
        <v>682</v>
      </c>
      <c r="R14" s="197">
        <f t="shared" si="7"/>
        <v>13080</v>
      </c>
      <c r="S14" s="197">
        <f t="shared" si="7"/>
        <v>7685</v>
      </c>
      <c r="T14" s="197">
        <f t="shared" si="7"/>
        <v>2005</v>
      </c>
      <c r="U14" s="197">
        <f t="shared" si="7"/>
        <v>1974</v>
      </c>
      <c r="V14" s="197">
        <f t="shared" si="7"/>
        <v>7673</v>
      </c>
      <c r="W14" s="197">
        <f t="shared" si="7"/>
        <v>513</v>
      </c>
      <c r="X14" s="197">
        <f t="shared" si="7"/>
        <v>919</v>
      </c>
      <c r="Y14" s="197">
        <f t="shared" si="7"/>
        <v>456</v>
      </c>
      <c r="Z14" s="197">
        <f t="shared" si="7"/>
        <v>193</v>
      </c>
      <c r="AA14" s="197">
        <f t="shared" si="7"/>
        <v>165</v>
      </c>
      <c r="AB14" s="197">
        <f t="shared" si="7"/>
        <v>484</v>
      </c>
      <c r="AC14" s="197">
        <f t="shared" si="7"/>
        <v>0</v>
      </c>
      <c r="AD14" s="197">
        <f t="shared" si="7"/>
        <v>0</v>
      </c>
      <c r="AE14" s="197">
        <f t="shared" si="7"/>
        <v>0</v>
      </c>
      <c r="AF14" s="197">
        <f>SUBTOTAL(9,AF9:AF13)</f>
        <v>0</v>
      </c>
      <c r="AG14" s="197">
        <f t="shared" ref="AG14:AT14" si="8">SUBTOTAL(9,AG8:AG13)</f>
        <v>526</v>
      </c>
      <c r="AH14" s="197">
        <f t="shared" si="8"/>
        <v>197</v>
      </c>
      <c r="AI14" s="197">
        <f t="shared" si="8"/>
        <v>156</v>
      </c>
      <c r="AJ14" s="197">
        <f t="shared" si="8"/>
        <v>561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8211</v>
      </c>
      <c r="AZ14" s="197">
        <f>SUBTOTAL(9,AZ8:AZ13)</f>
        <v>2202</v>
      </c>
      <c r="BA14" s="197">
        <f>SUBTOTAL(9,BA8:BA13)</f>
        <v>2130</v>
      </c>
      <c r="BB14" s="197">
        <f>SUBTOTAL(9,BB8:BB13)</f>
        <v>8234</v>
      </c>
      <c r="BC14" s="197">
        <f>SUBTOTAL(9,BC8:BC13)</f>
        <v>920</v>
      </c>
      <c r="BD14" s="219">
        <f>IF(ISNUMBER(BA14/AZ14),BA14/AZ14," - ")</f>
        <v>0.96730245231607626</v>
      </c>
      <c r="BE14" s="220">
        <f>IF(ISNUMBER(BB14/BA14),BB14/BA14, " - ")</f>
        <v>3.8657276995305163</v>
      </c>
      <c r="BF14" s="220">
        <f>IF(ISNUMBER(BC14/BA14),BC14/BA14, " - ")</f>
        <v>0.431924882629108</v>
      </c>
      <c r="BG14" s="221">
        <f>IF(ISNUMBER((AY14+AZ14)/BA14),(AY14+AZ14)/BA14," - ")</f>
        <v>4.8887323943661976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2143</v>
      </c>
      <c r="J16" s="196">
        <v>2503</v>
      </c>
      <c r="K16" s="196">
        <v>2492</v>
      </c>
      <c r="L16" s="196">
        <v>2175</v>
      </c>
      <c r="M16" s="196">
        <v>317</v>
      </c>
      <c r="N16" s="196">
        <v>1644</v>
      </c>
      <c r="O16" s="194">
        <v>72</v>
      </c>
      <c r="P16" s="196">
        <v>61</v>
      </c>
      <c r="Q16" s="196">
        <v>83</v>
      </c>
      <c r="R16" s="196">
        <v>463</v>
      </c>
      <c r="S16" s="196">
        <v>2272</v>
      </c>
      <c r="T16" s="196">
        <v>2268</v>
      </c>
      <c r="U16" s="196">
        <v>2251</v>
      </c>
      <c r="V16" s="196">
        <v>2311</v>
      </c>
      <c r="W16" s="196">
        <v>323</v>
      </c>
      <c r="X16" s="202">
        <v>1383</v>
      </c>
      <c r="Y16" s="215">
        <v>0</v>
      </c>
      <c r="Z16" s="196">
        <v>0</v>
      </c>
      <c r="AA16" s="196">
        <v>0</v>
      </c>
      <c r="AB16" s="196">
        <v>0</v>
      </c>
      <c r="AC16" s="196">
        <v>0</v>
      </c>
      <c r="AD16" s="196">
        <v>21</v>
      </c>
      <c r="AE16" s="196">
        <v>20</v>
      </c>
      <c r="AF16" s="202">
        <v>1</v>
      </c>
      <c r="AG16" s="215">
        <v>0</v>
      </c>
      <c r="AH16" s="196">
        <v>0</v>
      </c>
      <c r="AI16" s="196">
        <v>0</v>
      </c>
      <c r="AJ16" s="216">
        <v>0</v>
      </c>
      <c r="AK16" s="195">
        <v>0</v>
      </c>
      <c r="AL16" s="196">
        <v>39</v>
      </c>
      <c r="AM16" s="196">
        <v>36</v>
      </c>
      <c r="AN16" s="202">
        <v>3</v>
      </c>
      <c r="AO16" s="283">
        <v>4</v>
      </c>
      <c r="AP16" s="168">
        <v>4</v>
      </c>
      <c r="AQ16" s="168">
        <v>4</v>
      </c>
      <c r="AR16" s="168">
        <v>4</v>
      </c>
      <c r="AS16" s="381" t="s">
        <v>697</v>
      </c>
      <c r="AT16" s="216" t="s">
        <v>420</v>
      </c>
      <c r="AU16" s="215"/>
      <c r="AV16" s="216"/>
      <c r="AW16" s="215"/>
      <c r="AX16" s="216"/>
      <c r="AY16" s="138">
        <f t="shared" ref="AY16:BB17" si="10">IF(ISNUMBER(IF(D_I="SI",S16,S16+AK16)),IF(D_I="SI",S16,S16+AK16)," - ")</f>
        <v>2272</v>
      </c>
      <c r="AZ16" s="139">
        <f t="shared" si="10"/>
        <v>2268</v>
      </c>
      <c r="BA16" s="139">
        <f t="shared" si="10"/>
        <v>2251</v>
      </c>
      <c r="BB16" s="139">
        <f t="shared" si="10"/>
        <v>2311</v>
      </c>
      <c r="BC16" s="135">
        <f>IF(ISNUMBER(W16),W16," - ")</f>
        <v>323</v>
      </c>
      <c r="BD16" s="136">
        <f>IF(ISNUMBER(BA16/AZ16),BA16/AZ16," - ")</f>
        <v>0.99250440917107585</v>
      </c>
      <c r="BE16" s="137">
        <f>IF(ISNUMBER(BB16/BA16),BB16/BA16, " - ")</f>
        <v>1.0266548200799646</v>
      </c>
      <c r="BF16" s="137">
        <f>IF(ISNUMBER(BC16/BA16),BC16/BA16, " - ")</f>
        <v>0.14349178143047533</v>
      </c>
      <c r="BG16" s="209">
        <f t="shared" ref="BG16:BG22" si="11">IF(ISNUMBER((AY16+AZ16)/BA16),(AY16+AZ16)/BA16," - ")</f>
        <v>2.016881386050644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293</v>
      </c>
      <c r="J18" s="196">
        <v>221</v>
      </c>
      <c r="K18" s="196">
        <v>202</v>
      </c>
      <c r="L18" s="196">
        <v>319</v>
      </c>
      <c r="M18" s="196">
        <v>27</v>
      </c>
      <c r="N18" s="196">
        <v>119</v>
      </c>
      <c r="O18" s="196">
        <v>1</v>
      </c>
      <c r="P18" s="196">
        <v>0</v>
      </c>
      <c r="Q18" s="196">
        <v>1</v>
      </c>
      <c r="R18" s="196">
        <v>8</v>
      </c>
      <c r="S18" s="196">
        <v>524</v>
      </c>
      <c r="T18" s="196">
        <v>341</v>
      </c>
      <c r="U18" s="196">
        <v>391</v>
      </c>
      <c r="V18" s="196">
        <v>477</v>
      </c>
      <c r="W18" s="196">
        <v>33</v>
      </c>
      <c r="X18" s="202">
        <v>252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524</v>
      </c>
      <c r="AZ18" s="139">
        <f t="shared" si="15"/>
        <v>341</v>
      </c>
      <c r="BA18" s="139">
        <f t="shared" si="15"/>
        <v>391</v>
      </c>
      <c r="BB18" s="139">
        <f t="shared" si="15"/>
        <v>477</v>
      </c>
      <c r="BC18" s="135">
        <f>IF(ISNUMBER(W18),W18," - ")</f>
        <v>33</v>
      </c>
      <c r="BD18" s="136">
        <f>IF(ISNUMBER(BA18/AZ18),BA18/AZ18," - ")</f>
        <v>1.1466275659824048</v>
      </c>
      <c r="BE18" s="137">
        <f>IF(ISNUMBER(BB18/BA18),BB18/BA18, " - ")</f>
        <v>1.2199488491048593</v>
      </c>
      <c r="BF18" s="137">
        <f>IF(ISNUMBER(BC18/BA18),BC18/BA18, " - ")</f>
        <v>8.4398976982097182E-2</v>
      </c>
      <c r="BG18" s="209">
        <f>IF(ISNUMBER((AY18+AZ18)/BA18),(AY18+AZ18)/BA18," - ")</f>
        <v>2.2122762148337598</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2436</v>
      </c>
      <c r="J23" s="197">
        <f t="shared" si="21"/>
        <v>2724</v>
      </c>
      <c r="K23" s="197">
        <f t="shared" si="21"/>
        <v>2694</v>
      </c>
      <c r="L23" s="197">
        <f t="shared" si="21"/>
        <v>2494</v>
      </c>
      <c r="M23" s="197">
        <f t="shared" si="21"/>
        <v>344</v>
      </c>
      <c r="N23" s="197">
        <f t="shared" si="21"/>
        <v>1763</v>
      </c>
      <c r="O23" s="197">
        <f t="shared" si="21"/>
        <v>73</v>
      </c>
      <c r="P23" s="197">
        <f t="shared" si="21"/>
        <v>61</v>
      </c>
      <c r="Q23" s="197">
        <f t="shared" si="21"/>
        <v>84</v>
      </c>
      <c r="R23" s="197">
        <f t="shared" si="21"/>
        <v>471</v>
      </c>
      <c r="S23" s="197">
        <f t="shared" si="21"/>
        <v>2796</v>
      </c>
      <c r="T23" s="197">
        <f t="shared" si="21"/>
        <v>2609</v>
      </c>
      <c r="U23" s="197">
        <f t="shared" si="21"/>
        <v>2642</v>
      </c>
      <c r="V23" s="197">
        <f t="shared" si="21"/>
        <v>2788</v>
      </c>
      <c r="W23" s="197">
        <f t="shared" si="21"/>
        <v>356</v>
      </c>
      <c r="X23" s="197">
        <f t="shared" si="21"/>
        <v>1635</v>
      </c>
      <c r="Y23" s="197">
        <f t="shared" si="21"/>
        <v>0</v>
      </c>
      <c r="Z23" s="197">
        <f t="shared" si="21"/>
        <v>0</v>
      </c>
      <c r="AA23" s="197">
        <f t="shared" si="21"/>
        <v>0</v>
      </c>
      <c r="AB23" s="197">
        <f t="shared" si="21"/>
        <v>0</v>
      </c>
      <c r="AC23" s="197">
        <f t="shared" si="21"/>
        <v>0</v>
      </c>
      <c r="AD23" s="197">
        <f t="shared" si="21"/>
        <v>21</v>
      </c>
      <c r="AE23" s="197">
        <f t="shared" si="21"/>
        <v>20</v>
      </c>
      <c r="AF23" s="197">
        <f t="shared" si="21"/>
        <v>1</v>
      </c>
      <c r="AG23" s="197">
        <f t="shared" si="21"/>
        <v>0</v>
      </c>
      <c r="AH23" s="197">
        <f t="shared" si="21"/>
        <v>0</v>
      </c>
      <c r="AI23" s="197">
        <f t="shared" si="21"/>
        <v>0</v>
      </c>
      <c r="AJ23" s="197">
        <f t="shared" si="21"/>
        <v>0</v>
      </c>
      <c r="AK23" s="197">
        <f t="shared" si="21"/>
        <v>0</v>
      </c>
      <c r="AL23" s="197">
        <f t="shared" si="21"/>
        <v>39</v>
      </c>
      <c r="AM23" s="197">
        <f t="shared" si="21"/>
        <v>36</v>
      </c>
      <c r="AN23" s="197">
        <f t="shared" si="21"/>
        <v>3</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2796</v>
      </c>
      <c r="AZ23" s="197">
        <f>SUBTOTAL(9,AZ15:AZ22)</f>
        <v>2609</v>
      </c>
      <c r="BA23" s="197">
        <f>SUBTOTAL(9,BA15:BA22)</f>
        <v>2642</v>
      </c>
      <c r="BB23" s="197">
        <f>SUBTOTAL(9,BB15:BB22)</f>
        <v>2788</v>
      </c>
      <c r="BC23" s="197">
        <f>SUBTOTAL(9,BC15:BC22)</f>
        <v>356</v>
      </c>
      <c r="BD23" s="219">
        <f>IF(ISNUMBER(BA23/AZ23),BA23/AZ23," - ")</f>
        <v>1.0126485243388272</v>
      </c>
      <c r="BE23" s="220">
        <f>IF(ISNUMBER(BB23/BA23),BB23/BA23, " - ")</f>
        <v>1.0552611657834974</v>
      </c>
      <c r="BF23" s="220">
        <f>IF(ISNUMBER(BC23/BA23),BC23/BA23, " - ")</f>
        <v>0.13474640423921272</v>
      </c>
      <c r="BG23" s="221">
        <f>IF(ISNUMBER((AY23+AZ23)/BA23),(AY23+AZ23)/BA23," - ")</f>
        <v>2.0457986373959121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10623</v>
      </c>
      <c r="J31" s="144">
        <f t="shared" si="36"/>
        <v>4954</v>
      </c>
      <c r="K31" s="144">
        <f t="shared" si="36"/>
        <v>4897</v>
      </c>
      <c r="L31" s="144">
        <f t="shared" si="36"/>
        <v>10646</v>
      </c>
      <c r="M31" s="144">
        <f t="shared" si="36"/>
        <v>810</v>
      </c>
      <c r="N31" s="144">
        <f t="shared" si="36"/>
        <v>2669</v>
      </c>
      <c r="O31" s="144">
        <f t="shared" si="36"/>
        <v>1036</v>
      </c>
      <c r="P31" s="144">
        <f t="shared" si="36"/>
        <v>617</v>
      </c>
      <c r="Q31" s="144">
        <f t="shared" si="36"/>
        <v>766</v>
      </c>
      <c r="R31" s="144">
        <f t="shared" si="36"/>
        <v>13551</v>
      </c>
      <c r="S31" s="144">
        <f t="shared" si="36"/>
        <v>10481</v>
      </c>
      <c r="T31" s="144">
        <f t="shared" si="36"/>
        <v>4614</v>
      </c>
      <c r="U31" s="144">
        <f t="shared" si="36"/>
        <v>4616</v>
      </c>
      <c r="V31" s="144">
        <f t="shared" si="36"/>
        <v>10461</v>
      </c>
      <c r="W31" s="144">
        <f t="shared" si="36"/>
        <v>869</v>
      </c>
      <c r="X31" s="144">
        <f t="shared" si="36"/>
        <v>2554</v>
      </c>
      <c r="Y31" s="144">
        <f t="shared" si="36"/>
        <v>456</v>
      </c>
      <c r="Z31" s="144">
        <f t="shared" si="36"/>
        <v>193</v>
      </c>
      <c r="AA31" s="144">
        <f t="shared" si="36"/>
        <v>165</v>
      </c>
      <c r="AB31" s="144">
        <f t="shared" si="36"/>
        <v>484</v>
      </c>
      <c r="AC31" s="144">
        <f t="shared" si="36"/>
        <v>0</v>
      </c>
      <c r="AD31" s="144">
        <f t="shared" si="36"/>
        <v>21</v>
      </c>
      <c r="AE31" s="144">
        <f t="shared" si="36"/>
        <v>20</v>
      </c>
      <c r="AF31" s="144">
        <f t="shared" si="36"/>
        <v>1</v>
      </c>
      <c r="AG31" s="144">
        <f t="shared" si="36"/>
        <v>526</v>
      </c>
      <c r="AH31" s="144">
        <f t="shared" si="36"/>
        <v>197</v>
      </c>
      <c r="AI31" s="144">
        <f t="shared" si="36"/>
        <v>156</v>
      </c>
      <c r="AJ31" s="144">
        <f t="shared" si="36"/>
        <v>561</v>
      </c>
      <c r="AK31" s="144">
        <f t="shared" si="36"/>
        <v>0</v>
      </c>
      <c r="AL31" s="144">
        <f t="shared" si="36"/>
        <v>39</v>
      </c>
      <c r="AM31" s="144">
        <f t="shared" si="36"/>
        <v>36</v>
      </c>
      <c r="AN31" s="224">
        <f t="shared" si="36"/>
        <v>3</v>
      </c>
      <c r="AO31" s="225">
        <v>13</v>
      </c>
      <c r="AP31" s="225">
        <v>12</v>
      </c>
      <c r="AQ31" s="225">
        <v>12</v>
      </c>
      <c r="AR31" s="225">
        <v>12</v>
      </c>
      <c r="AS31" s="166">
        <f t="shared" si="36"/>
        <v>0</v>
      </c>
      <c r="AT31" s="166">
        <f t="shared" si="36"/>
        <v>0</v>
      </c>
      <c r="AU31" s="225"/>
      <c r="AV31" s="226"/>
      <c r="AW31" s="225"/>
      <c r="AX31" s="226"/>
      <c r="AY31" s="143">
        <f>SUBTOTAL(9,AY9:AY30)</f>
        <v>11007</v>
      </c>
      <c r="AZ31" s="144">
        <f>SUBTOTAL(9,AZ9:AZ30)</f>
        <v>4811</v>
      </c>
      <c r="BA31" s="144">
        <f>SUBTOTAL(9,BA9:BA30)</f>
        <v>4772</v>
      </c>
      <c r="BB31" s="144">
        <f>SUBTOTAL(9,BB9:BB30)</f>
        <v>11022</v>
      </c>
      <c r="BC31" s="145">
        <f>SUBTOTAL(9,BC9:BC30)</f>
        <v>1276</v>
      </c>
      <c r="BD31" s="227">
        <f>IF(ISNUMBER(BA31/AZ31),BA31/AZ31," - ")</f>
        <v>0.99189357721887339</v>
      </c>
      <c r="BE31" s="224">
        <f>IF(ISNUMBER(BB31/BA31),BB31/BA31, " - ")</f>
        <v>2.3097233864207878</v>
      </c>
      <c r="BF31" s="224">
        <f>IF(ISNUMBER(BC31/BA31),BC31/BA31, " - ")</f>
        <v>0.26739312657166808</v>
      </c>
      <c r="BG31" s="145">
        <f>IF(ISNUMBER((AY31+AZ31)/BA31),(AY31+AZ31)/BA31," - ")</f>
        <v>3.3147527242246437</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hREthbHhvEt6bIjI3aoPBffvD83Cg/ZmdInfGOP+O7tBcRL/SYyoS07SO98/fyjTgtOiZkI4OzVXdfHoF2D5Q==" saltValue="swZOhXj5YUoekfTXCVeT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n/kxfP0HVZ2NryRT0sxH+OKxpyqgKxKDKcgIY0gusrUMFeZ79tdVre43gE/Ftf3ctByutYRz1HfRfnOWPg2A==" saltValue="XXfAu+WF4rEedv4agh3F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GUADALAJARA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107</v>
      </c>
      <c r="O9" s="549"/>
      <c r="P9" s="549"/>
      <c r="Q9" s="547">
        <f>IF(ISNUMBER(Datos!P9),Datos!P9,0)</f>
        <v>509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98</v>
      </c>
      <c r="AI9" s="549" t="str">
        <f>IF(ISNUMBER(Datos!CD9),Datos!CD9,"-")</f>
        <v>-</v>
      </c>
      <c r="AJ9" s="549" t="str">
        <f>IF(ISNUMBER(Datos!EN9),Datos!EN9," - ")</f>
        <v xml:space="preserve"> - </v>
      </c>
      <c r="AK9" s="549"/>
      <c r="AL9" s="550"/>
      <c r="AM9" s="766">
        <f>IF(ISNUMBER(Datos!R9),Datos!R9," - ")</f>
        <v>11964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376</v>
      </c>
      <c r="BD9" s="693">
        <f>IF(ISNUMBER(Datos!N9),Datos!N9," - ")</f>
        <v>809</v>
      </c>
      <c r="BE9" s="693" t="str">
        <f>IF(ISNUMBER(Datos!BW9),Datos!BW9," - ")</f>
        <v xml:space="preserve"> - </v>
      </c>
      <c r="BF9" s="762" t="str">
        <f>IF(ISNUMBER(Datos!BX9),Datos!BX9," - ")</f>
        <v xml:space="preserve"> - </v>
      </c>
      <c r="BG9" s="763">
        <f>IF(ISNUMBER(IF(J_V="SI",Datos!K9/Datos!J9,(Datos!K9+Datos!AA9)/(Datos!J9+Datos!Z9))),IF(J_V="SI",Datos!K9/Datos!J9,(Datos!K9+Datos!AA9)/(Datos!J9+Datos!Z9))," - ")</f>
        <v>1.0091831802803286</v>
      </c>
      <c r="BH9" s="764">
        <f>IF(ISNUMBER(((IF(J_V="SI",Datos!L9/Datos!K9,(Datos!L9+Datos!AB9)/(Datos!K9+Datos!AA9)))*11)/factor_trimestre),((IF(J_V="SI",Datos!L9/Datos!K9,(Datos!L9+Datos!AB9)/(Datos!K9+Datos!AA9)))*11)/factor_trimestre," - ")</f>
        <v>6.5335249042145591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-3.4982508745627187E-3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145</v>
      </c>
      <c r="G10" s="543">
        <f>IF(ISNUMBER(Datos!I10),Datos!I10," - ")</f>
        <v>145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146</v>
      </c>
      <c r="AG10" s="549"/>
      <c r="AH10" s="549"/>
      <c r="AI10" s="549"/>
      <c r="AJ10" s="549"/>
      <c r="AK10" s="549"/>
      <c r="AL10" s="550"/>
      <c r="AM10" s="766">
        <f>IF(ISNUMBER(Datos!R10),Datos!R10," - ")</f>
        <v>99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0.92307692307692313</v>
      </c>
      <c r="BH10" s="764">
        <f>IF(ISNUMBER(((Datos!L10/Datos!K10)*11)/factor_trimestre),((Datos!L10/Datos!K10)*11)/factor_trimestre," - ")</f>
        <v>24.333333333333329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86</v>
      </c>
      <c r="O11" s="549"/>
      <c r="P11" s="549"/>
      <c r="Q11" s="547">
        <f>IF(ISNUMBER(Datos!P11),Datos!P11,0)</f>
        <v>43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130</v>
      </c>
      <c r="AD11" s="549"/>
      <c r="AE11" s="563"/>
      <c r="AF11" s="551" t="str">
        <f>IF(ISNUMBER(IF(J_V="SI",Datos!L11,Datos!L11+Datos!AB11)-IF(Monitorios="SI",Datos!CD11,0)),
                          IF(J_V="SI",Datos!L11,Datos!L11+Datos!AB11)-IF(Monitorios="SI",Datos!CD11,0),
                          " - ")</f>
        <v xml:space="preserve"> - </v>
      </c>
      <c r="AG11" s="549"/>
      <c r="AH11" s="549">
        <f>IF(ISNUMBER(Datos!AB11),Datos!AB11,"-")</f>
        <v>386</v>
      </c>
      <c r="AI11" s="549"/>
      <c r="AJ11" s="549"/>
      <c r="AK11" s="549"/>
      <c r="AL11" s="550"/>
      <c r="AM11" s="766">
        <f>IF(ISNUMBER(Datos!R11),Datos!R11," - ")</f>
        <v>988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84</v>
      </c>
      <c r="BD11" s="693">
        <f>IF(ISNUMBER(Datos!N11),Datos!N11," - ")</f>
        <v>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0.78592375366568912</v>
      </c>
      <c r="BH11" s="764">
        <f>IF(ISNUMBER(((IF(J_V="SI",Datos!L11/Datos!K11,(Datos!L11+Datos!AB11)/(Datos!K11+Datos!AA11)))*11)/factor_trimestre),((IF(J_V="SI",Datos!L11/Datos!K11,(Datos!L11+Datos!AB11)/(Datos!K11+Datos!AA11)))*11)/factor_trimestre," - ")</f>
        <v>12.455223880597014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-8.0930232558139539E-2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145</v>
      </c>
      <c r="G14" s="1197">
        <f t="shared" si="1"/>
        <v>145</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556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682</v>
      </c>
      <c r="AD14" s="1198">
        <f t="shared" si="2"/>
        <v>0</v>
      </c>
      <c r="AE14" s="1198">
        <f t="shared" si="2"/>
        <v>0</v>
      </c>
      <c r="AF14" s="1198">
        <f t="shared" si="2"/>
        <v>146</v>
      </c>
      <c r="AG14" s="1198">
        <f t="shared" si="2"/>
        <v>0</v>
      </c>
      <c r="AH14" s="1198">
        <f t="shared" si="2"/>
        <v>484</v>
      </c>
      <c r="AI14" s="1198">
        <f t="shared" si="2"/>
        <v>0</v>
      </c>
      <c r="AJ14" s="1198">
        <f t="shared" si="2"/>
        <v>0</v>
      </c>
      <c r="AK14" s="1198">
        <f t="shared" si="2"/>
        <v>0</v>
      </c>
      <c r="AL14" s="1198">
        <f t="shared" si="2"/>
        <v>0</v>
      </c>
      <c r="AM14" s="1198">
        <f t="shared" si="2"/>
        <v>13080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466</v>
      </c>
      <c r="BD14" s="1198">
        <f t="shared" si="2"/>
        <v>906</v>
      </c>
      <c r="BE14" s="1198">
        <f t="shared" si="2"/>
        <v>0</v>
      </c>
      <c r="BF14" s="1198">
        <f t="shared" si="2"/>
        <v>0</v>
      </c>
      <c r="BG14" s="1198">
        <f>IF(ISNUMBER(Datos!K14/Datos!J14),Datos!K14/Datos!J14," - ")</f>
        <v>0.98789237668161434</v>
      </c>
      <c r="BH14" s="1202">
        <f>IF(ISNUMBER(((Datos!L14/Datos!K14)*11)/factor_trimestre),((Datos!L14/Datos!K14)*11)/factor_trimestre," - ")</f>
        <v>7.4008170676350433</v>
      </c>
      <c r="BI14" s="1198">
        <f>IF(ISNUMBER('Resol  Asuntos'!D14/NºAsuntos!G14),'Resol  Asuntos'!D14/NºAsuntos!G14," - ")</f>
        <v>0.19679054054054054</v>
      </c>
      <c r="BJ14" s="1198" t="str">
        <f>IF(ISNUMBER(Datos!CI14/Datos!CJ14),Datos!CI14/Datos!CJ14," - ")</f>
        <v xml:space="preserve"> - </v>
      </c>
      <c r="BK14" s="1198">
        <f>SUBTOTAL(9,BK8:BK13)</f>
        <v>0</v>
      </c>
      <c r="BL14" s="1198">
        <f>IF(ISNUMBER((I14-AB14+L14)/(F14)),(I14-AB14+L14)/(F14)," - ")</f>
        <v>-8.2758620689655171E-2</v>
      </c>
      <c r="BM14" s="1203">
        <f>SUBTOTAL(9,BM9:BM13)</f>
        <v>-5.3178483432702262E-2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2164</v>
      </c>
      <c r="G16" s="743">
        <f>IF(ISNUMBER(IF(D_I="SI",Datos!I16,Datos!I16+Datos!AC16)),IF(D_I="SI",Datos!I16,Datos!I16+Datos!AC16)," - ")</f>
        <v>2143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2492</v>
      </c>
      <c r="AC16" s="240">
        <f>IF(ISNUMBER(Datos!Q16),Datos!Q16," - ")</f>
        <v>83</v>
      </c>
      <c r="AD16" s="374"/>
      <c r="AE16" s="562"/>
      <c r="AF16" s="741">
        <f>IF(ISNUMBER(IF(D_I="SI",Datos!L16,Datos!L16+Datos!AF16)),IF(D_I="SI",Datos!L16,Datos!L16+Datos!AF16)," - ")</f>
        <v>2175</v>
      </c>
      <c r="AG16" s="374"/>
      <c r="AH16" s="374"/>
      <c r="AI16" s="374"/>
      <c r="AJ16" s="549"/>
      <c r="AK16" s="374"/>
      <c r="AL16" s="545"/>
      <c r="AM16" s="375">
        <f>IF(ISNUMBER(Datos!R16),Datos!R16," - ")</f>
        <v>463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317</v>
      </c>
      <c r="BD16" s="243">
        <f>IF(ISNUMBER(Datos!N16),Datos!N16," - ")</f>
        <v>1644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0.99560527367159413</v>
      </c>
      <c r="BH16" s="764">
        <f>IF(ISNUMBER(((IF(D_I="SI",Datos!L16/Datos!K16,(Datos!L16+Datos!AF16)/(Datos!K16+Datos!AE16)))*11)/factor_trimestre),((IF(D_I="SI",Datos!L16/Datos!K16,(Datos!L16+Datos!AF16)/(Datos!K16+Datos!AE16)))*11)/factor_trimestre," - ")</f>
        <v>1.745585874799358</v>
      </c>
      <c r="BI16" s="266">
        <f>IF(ISNUMBER('Resol  Asuntos'!D16/NºAsuntos!G16),'Resol  Asuntos'!D16/NºAsuntos!G16," - ")</f>
        <v>0.12720706260032102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202</v>
      </c>
      <c r="AC18" s="547">
        <f>IF(ISNUMBER(Datos!Q18),Datos!Q18," - ")</f>
        <v>1</v>
      </c>
      <c r="AD18" s="549"/>
      <c r="AE18" s="562"/>
      <c r="AF18" s="551">
        <f>IF(ISNUMBER(Datos!L18),Datos!L18,"-")</f>
        <v>319</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119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0.91402714932126694</v>
      </c>
      <c r="BH18" s="764">
        <f>IF(ISNUMBER(((IF(D_I="SI",Datos!L18/Datos!K18,(Datos!L18+Datos!AF18)/(Datos!K18+Datos!AE18)))*11)/factor_trimestre),((IF(D_I="SI",Datos!L18/Datos!K18,(Datos!L18+Datos!AF18)/(Datos!K18+Datos!AE18)))*11)/factor_trimestre," - ")</f>
        <v>3.1584158415841586</v>
      </c>
      <c r="BI18" s="763">
        <f>IF(ISNUMBER('Resol  Asuntos'!D18/NºAsuntos!G18),'Resol  Asuntos'!D18/NºAsuntos!G18," - ")</f>
        <v>0.13366336633663367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2164</v>
      </c>
      <c r="G23" s="1197">
        <f>SUBTOTAL(9,G16:G22)</f>
        <v>2436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2694</v>
      </c>
      <c r="AC23" s="1198">
        <f t="shared" si="5"/>
        <v>84</v>
      </c>
      <c r="AD23" s="1198">
        <f t="shared" si="5"/>
        <v>0</v>
      </c>
      <c r="AE23" s="1198">
        <f t="shared" si="5"/>
        <v>0</v>
      </c>
      <c r="AF23" s="1198">
        <f t="shared" si="5"/>
        <v>2494</v>
      </c>
      <c r="AG23" s="1198">
        <f t="shared" si="5"/>
        <v>0</v>
      </c>
      <c r="AH23" s="1198">
        <f t="shared" si="5"/>
        <v>0</v>
      </c>
      <c r="AI23" s="1198">
        <f t="shared" si="5"/>
        <v>0</v>
      </c>
      <c r="AJ23" s="1198">
        <f t="shared" si="5"/>
        <v>0</v>
      </c>
      <c r="AK23" s="1198">
        <f t="shared" si="5"/>
        <v>0</v>
      </c>
      <c r="AL23" s="1198">
        <f t="shared" si="5"/>
        <v>0</v>
      </c>
      <c r="AM23" s="1198">
        <f t="shared" si="5"/>
        <v>471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344</v>
      </c>
      <c r="BD23" s="1198">
        <f t="shared" si="5"/>
        <v>1763</v>
      </c>
      <c r="BE23" s="1198">
        <f t="shared" si="5"/>
        <v>0</v>
      </c>
      <c r="BF23" s="1198">
        <f t="shared" si="5"/>
        <v>0</v>
      </c>
      <c r="BG23" s="1198">
        <f>IF(ISNUMBER(Datos!K23/Datos!J23),Datos!K23/Datos!J23," - ")</f>
        <v>0.98898678414096919</v>
      </c>
      <c r="BH23" s="1202">
        <f>IF(ISNUMBER(((Datos!L23/Datos!K23)*11)/factor_trimestre),((Datos!L23/Datos!K23)*11)/factor_trimestre," - ")</f>
        <v>1.8515219005196732</v>
      </c>
      <c r="BI23" s="1198">
        <f>SUBTOTAL(9,BI16:BI22)</f>
        <v>0.26087042893695467</v>
      </c>
      <c r="BJ23" s="1198">
        <f>SUBTOTAL(9,BJ16:BJ22)</f>
        <v>0</v>
      </c>
      <c r="BK23" s="1198">
        <f>SUBTOTAL(9,BK16:BK22)</f>
        <v>0</v>
      </c>
      <c r="BL23" s="1198">
        <f>IF(ISNUMBER((I23-AB23+L23)/(F23)),(I23-AB23+L23)/(F23)," - ")</f>
        <v>-1.2449168207024031</v>
      </c>
      <c r="BM23" s="1205">
        <f>IF(ISNUMBER((Datos!P23-Datos!Q23)/(Datos!R23-Datos!P23+Datos!Q23)),(Datos!P23-Datos!Q23)/(Datos!R23-Datos!P23+Datos!Q23)," - ")</f>
        <v>-4.6558704453441298E-2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2309</v>
      </c>
      <c r="G31" s="1117">
        <f t="shared" si="18"/>
        <v>2581</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617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2706</v>
      </c>
      <c r="AC31" s="1118">
        <f t="shared" si="19"/>
        <v>766</v>
      </c>
      <c r="AD31" s="1118">
        <f t="shared" si="19"/>
        <v>0</v>
      </c>
      <c r="AE31" s="1118">
        <f t="shared" si="19"/>
        <v>0</v>
      </c>
      <c r="AF31" s="1125">
        <f t="shared" si="19"/>
        <v>2640</v>
      </c>
      <c r="AG31" s="1125">
        <f t="shared" si="19"/>
        <v>0</v>
      </c>
      <c r="AH31" s="1125">
        <f t="shared" si="19"/>
        <v>484</v>
      </c>
      <c r="AI31" s="1125">
        <f t="shared" si="19"/>
        <v>0</v>
      </c>
      <c r="AJ31" s="1118">
        <f t="shared" si="19"/>
        <v>0</v>
      </c>
      <c r="AK31" s="1125">
        <f t="shared" si="19"/>
        <v>0</v>
      </c>
      <c r="AL31" s="1125">
        <f t="shared" si="19"/>
        <v>0</v>
      </c>
      <c r="AM31" s="1125">
        <f t="shared" si="19"/>
        <v>13551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810</v>
      </c>
      <c r="BD31" s="1117">
        <f t="shared" si="19"/>
        <v>2669</v>
      </c>
      <c r="BE31" s="1117">
        <f t="shared" si="19"/>
        <v>0</v>
      </c>
      <c r="BF31" s="1127">
        <f t="shared" si="19"/>
        <v>0</v>
      </c>
      <c r="BG31" s="1223">
        <f>IF(ISNUMBER(Datos!K31/Datos!J31),Datos!K31/Datos!J31," - ")</f>
        <v>0.98849414614452968</v>
      </c>
      <c r="BH31" s="1223">
        <f>IF(ISNUMBER(((Datos!L31/Datos!K31)*11)/factor_trimestre),((Datos!L31/Datos!K31)*11)/factor_trimestre," - ")</f>
        <v>4.347968143761487</v>
      </c>
      <c r="BI31" s="1103">
        <f>IF(ISNUMBER(Datos!J31/Datos!I31),Datos!J31/Datos!I31," - ")</f>
        <v>0.46634660642003201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-1.1719359029883065</v>
      </c>
      <c r="BM31" s="1188">
        <f>IF(ISNUMBER((Datos!P31-Datos!Q31+R31)/(Datos!R31-Datos!P31+Datos!Q31-R31)),(Datos!P31-Datos!Q31+R31)/(Datos!R31-Datos!P31+Datos!Q31-R31)," - ")</f>
        <v>-1.0875912408759124E-2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2.5351332479369448</v>
      </c>
      <c r="F33" s="673">
        <f>IF(ISNUMBER(STDEV(F8:F30)),STDEV(F8:F30),"-")</f>
        <v>1081.9908810459849</v>
      </c>
      <c r="G33" s="674">
        <f>IF(ISNUMBER(STDEV(G8:G30)),STDEV(G8:G30),"-")</f>
        <v>1068.319374398071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1246.6316521693473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189.36678108310809</v>
      </c>
      <c r="BD33" s="673"/>
      <c r="BE33" s="673">
        <f>IF(ISNUMBER(STDEV(BE8:BE30)),STDEV(BE8:BE30),"-")</f>
        <v>0</v>
      </c>
      <c r="BF33" s="678">
        <f>IF(ISNUMBER(STDEV(BF8:BF30)),STDEV(BF8:BF30),"-")</f>
        <v>0</v>
      </c>
      <c r="BG33" s="1052">
        <f>IF(ISNUMBER(STDEV(BG8:BG30)),STDEV(BG8:BG30),"-")</f>
        <v>7.8724190802738583E-2</v>
      </c>
      <c r="BH33" s="1058">
        <f>IF(ISNUMBER(STDEV(BH8:BH30)),STDEV(BH8:BH30),"-")</f>
        <v>8.0538452041805257</v>
      </c>
      <c r="BI33" s="273">
        <f>IF(ISNUMBER(STDEV(BI8:BI30)),STDEV(BI8:BI30),"-")</f>
        <v>6.2598155428030877E-2</v>
      </c>
      <c r="BJ33" s="244" t="str">
        <f>IF(ISNUMBER(BL33/BM33),BL33/BM33," - ")</f>
        <v xml:space="preserve"> - </v>
      </c>
      <c r="BK33" s="709"/>
      <c r="BL33" s="681">
        <f>IF(ISNUMBER(STDEV(BL8:BL30)),STDEV(BL8:BL30),"-")</f>
        <v>0.82176994404056602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3wxpZ5oo+pvHDCJr9n/71N3mQMIpS/c3ER23Q9JfT0n7rBOZotT3MZw8/KktkaI6MXQ+MEfB61Ifkbpx3fLJg==" saltValue="0LTP5tajzXLOebIEU2yt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GUADALAJARA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551</v>
      </c>
      <c r="AA9" s="551" t="str">
        <f>IF(ISNUMBER(IF(J_V="SI",Datos!L9,Datos!L9+Datos!AB9)-IF(Monitorios="SI",Datos!CD9,0)),
                          IF(J_V="SI",Datos!L9,Datos!L9+Datos!AB9)-IF(Monitorios="SI",Datos!CD9,0),
                          " - ")</f>
        <v xml:space="preserve"> - </v>
      </c>
      <c r="AB9" s="549"/>
      <c r="AC9" s="549"/>
      <c r="AD9" s="563"/>
      <c r="AE9" s="563">
        <f>IF(ISNUMBER(Datos!R9),Datos!R9," - ")</f>
        <v>11964</v>
      </c>
      <c r="AF9" s="693" t="str">
        <f>IF(ISNUMBER(Datos!BV9),Datos!BV9," - ")</f>
        <v xml:space="preserve"> - </v>
      </c>
      <c r="AG9" s="552" t="str">
        <f>IF(ISNUMBER(Datos!DV9),Datos!DV9," - ")</f>
        <v xml:space="preserve"> - </v>
      </c>
      <c r="AH9" s="553"/>
      <c r="AI9" s="554"/>
      <c r="AJ9" s="552">
        <f>IF(ISNUMBER(Datos!M9),Datos!M9," - ")</f>
        <v>376</v>
      </c>
      <c r="AK9" s="693">
        <f>IF(ISNUMBER(Datos!N9),Datos!N9," - ")</f>
        <v>809</v>
      </c>
      <c r="AL9" s="693" t="str">
        <f>IF(ISNUMBER(Datos!BW9),Datos!BW9," - ")</f>
        <v xml:space="preserve"> - </v>
      </c>
      <c r="AM9" s="762" t="str">
        <f>IF(ISNUMBER(Datos!BX9),Datos!BX9," - ")</f>
        <v xml:space="preserve"> - </v>
      </c>
      <c r="AN9" s="763"/>
      <c r="AO9" s="764">
        <f>IF(ISNUMBER(((NºAsuntos!I9/NºAsuntos!G9)*11)/factor_trimestre),((NºAsuntos!I9/NºAsuntos!G9)*11)/factor_trimestre," - ")</f>
        <v>6.5335249042145591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-3.4982508745627187E-3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145</v>
      </c>
      <c r="G10" s="552">
        <f>IF(ISNUMBER(Datos!I10),Datos!I10," - ")</f>
        <v>145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146</v>
      </c>
      <c r="AB10" s="549"/>
      <c r="AC10" s="549"/>
      <c r="AD10" s="563"/>
      <c r="AE10" s="563">
        <f>IF(ISNUMBER(Datos!R10),Datos!R10," - ")</f>
        <v>99</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24.333333333333329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130</v>
      </c>
      <c r="AA11" s="551" t="str">
        <f>IF(ISNUMBER(IF(J_V="SI",Datos!L11,Datos!L11+Datos!AB11)-IF(Monitorios="SI",Datos!CD11,0)),
                          IF(J_V="SI",Datos!L11,Datos!L11+Datos!AB11)-IF(Monitorios="SI",Datos!CD11,0),
                          " - ")</f>
        <v xml:space="preserve"> - </v>
      </c>
      <c r="AB11" s="549"/>
      <c r="AC11" s="549"/>
      <c r="AD11" s="563"/>
      <c r="AE11" s="563">
        <f>IF(ISNUMBER(Datos!R11),Datos!R11," - ")</f>
        <v>988</v>
      </c>
      <c r="AF11" s="693" t="str">
        <f>IF(ISNUMBER(Datos!BV11),Datos!BV11," - ")</f>
        <v xml:space="preserve"> - </v>
      </c>
      <c r="AG11" s="552" t="str">
        <f>IF(ISNUMBER(Datos!DV11),Datos!DV11," - ")</f>
        <v xml:space="preserve"> - </v>
      </c>
      <c r="AH11" s="553"/>
      <c r="AI11" s="554"/>
      <c r="AJ11" s="552">
        <f>IF(ISNUMBER(Datos!M11),Datos!M11," - ")</f>
        <v>84</v>
      </c>
      <c r="AK11" s="693">
        <f>IF(ISNUMBER(Datos!N11),Datos!N11," - ")</f>
        <v>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12.455223880597014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-8.0930232558139539E-2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29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145</v>
      </c>
      <c r="G14" s="1197">
        <f>SUBTOTAL(9,G8:G13)</f>
        <v>145</v>
      </c>
      <c r="H14" s="1211"/>
      <c r="I14" s="1197">
        <f t="shared" ref="I14:N14" si="1">SUBTOTAL(9,I8:I13)</f>
        <v>0</v>
      </c>
      <c r="J14" s="1164">
        <f t="shared" si="1"/>
        <v>0</v>
      </c>
      <c r="K14" s="1211">
        <f t="shared" si="1"/>
        <v>0</v>
      </c>
      <c r="L14" s="1211">
        <f t="shared" si="1"/>
        <v>0</v>
      </c>
      <c r="M14" s="1211">
        <f t="shared" si="1"/>
        <v>0</v>
      </c>
      <c r="N14" s="1211">
        <f t="shared" si="1"/>
        <v>556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682</v>
      </c>
      <c r="AA14" s="1199">
        <f t="shared" si="3"/>
        <v>146</v>
      </c>
      <c r="AB14" s="1199">
        <f t="shared" si="3"/>
        <v>0</v>
      </c>
      <c r="AC14" s="1199">
        <f t="shared" si="3"/>
        <v>0</v>
      </c>
      <c r="AD14" s="1199">
        <f t="shared" si="3"/>
        <v>0</v>
      </c>
      <c r="AE14" s="1199">
        <f t="shared" si="3"/>
        <v>13080</v>
      </c>
      <c r="AF14" s="1211">
        <f t="shared" si="3"/>
        <v>0</v>
      </c>
      <c r="AG14" s="1211">
        <f t="shared" si="3"/>
        <v>0</v>
      </c>
      <c r="AH14" s="1211">
        <f t="shared" si="3"/>
        <v>0</v>
      </c>
      <c r="AI14" s="1211">
        <f t="shared" si="3"/>
        <v>0</v>
      </c>
      <c r="AJ14" s="1211">
        <f t="shared" si="3"/>
        <v>466</v>
      </c>
      <c r="AK14" s="1211">
        <f t="shared" si="3"/>
        <v>906</v>
      </c>
      <c r="AL14" s="1211">
        <f t="shared" si="3"/>
        <v>0</v>
      </c>
      <c r="AM14" s="1211">
        <f t="shared" si="3"/>
        <v>0</v>
      </c>
      <c r="AN14" s="1211">
        <f t="shared" si="3"/>
        <v>0</v>
      </c>
      <c r="AO14" s="1203">
        <f>IF(ISNUMBER(((NºAsuntos!I14/NºAsuntos!G14)*11)/factor_trimestre),((NºAsuntos!I14/NºAsuntos!G14)*11)/factor_trimestre," - ")</f>
        <v>7.2939189189189193</v>
      </c>
      <c r="AP14" s="1213" t="str">
        <f>IF(ISNUMBER(Datos!CI14/Datos!CJ14),Datos!CI14/Datos!CJ14," - ")</f>
        <v xml:space="preserve"> - </v>
      </c>
      <c r="AQ14" s="1236">
        <f t="shared" ref="AQ14:AV14" si="4">SUBTOTAL(9,AQ9:AQ13)</f>
        <v>0</v>
      </c>
      <c r="AR14" s="1236">
        <f t="shared" si="4"/>
        <v>-5.3178483432702262E-2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2164</v>
      </c>
      <c r="G16" s="552">
        <f>IF(ISNUMBER(IF(D_I="SI",Datos!I16,Datos!I16+Datos!AC16)),IF(D_I="SI",Datos!I16,Datos!I16+Datos!AC16)," - ")</f>
        <v>2143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2492</v>
      </c>
      <c r="Z16" s="805">
        <f>IF(ISNUMBER(Datos!Q16),Datos!Q16," - ")</f>
        <v>83</v>
      </c>
      <c r="AA16" s="551">
        <f>IF(ISNUMBER(IF(D_I="SI",Datos!L16,Datos!L16+Datos!AF16)),IF(D_I="SI",Datos!L16,Datos!L16+Datos!AF16)," - ")</f>
        <v>2175</v>
      </c>
      <c r="AB16" s="549"/>
      <c r="AC16" s="549"/>
      <c r="AD16" s="563"/>
      <c r="AE16" s="563">
        <f>IF(ISNUMBER(Datos!R16),Datos!R16," - ")</f>
        <v>463</v>
      </c>
      <c r="AF16" s="693" t="str">
        <f>IF(ISNUMBER(Datos!BV16),Datos!BV16," - ")</f>
        <v xml:space="preserve"> - </v>
      </c>
      <c r="AG16" s="552"/>
      <c r="AH16" s="553"/>
      <c r="AI16" s="554"/>
      <c r="AJ16" s="552">
        <f>IF(ISNUMBER(Datos!M16),Datos!M16," - ")</f>
        <v>317</v>
      </c>
      <c r="AK16" s="693">
        <f>IF(ISNUMBER(Datos!N16),Datos!N16," - ")</f>
        <v>1644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1.745585874799358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202</v>
      </c>
      <c r="Z18" s="805">
        <f>IF(ISNUMBER(Datos!Q18),Datos!Q18," - ")</f>
        <v>1</v>
      </c>
      <c r="AA18" s="551">
        <f>IF(ISNUMBER(Datos!L18),Datos!L18,"-")</f>
        <v>319</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27</v>
      </c>
      <c r="AK18" s="693">
        <f>IF(ISNUMBER(Datos!N18),Datos!N18," - ")</f>
        <v>119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3.1584158415841586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2164</v>
      </c>
      <c r="G23" s="1197">
        <f>SUBTOTAL(9,G16:G22)</f>
        <v>2436</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2694</v>
      </c>
      <c r="Z23" s="1240">
        <f t="shared" si="6"/>
        <v>84</v>
      </c>
      <c r="AA23" s="1240">
        <f t="shared" si="6"/>
        <v>2494</v>
      </c>
      <c r="AB23" s="1240">
        <f t="shared" si="6"/>
        <v>0</v>
      </c>
      <c r="AC23" s="1240">
        <f t="shared" si="6"/>
        <v>0</v>
      </c>
      <c r="AD23" s="1240">
        <f t="shared" si="6"/>
        <v>0</v>
      </c>
      <c r="AE23" s="1240">
        <f t="shared" si="6"/>
        <v>471</v>
      </c>
      <c r="AF23" s="1240">
        <f t="shared" si="6"/>
        <v>0</v>
      </c>
      <c r="AG23" s="1240">
        <f t="shared" si="6"/>
        <v>0</v>
      </c>
      <c r="AH23" s="1240">
        <f t="shared" si="6"/>
        <v>0</v>
      </c>
      <c r="AI23" s="1240">
        <f t="shared" si="6"/>
        <v>0</v>
      </c>
      <c r="AJ23" s="1240">
        <f t="shared" si="6"/>
        <v>344</v>
      </c>
      <c r="AK23" s="1240">
        <f t="shared" si="6"/>
        <v>1763</v>
      </c>
      <c r="AL23" s="1240">
        <f t="shared" si="6"/>
        <v>0</v>
      </c>
      <c r="AM23" s="1240">
        <f t="shared" si="6"/>
        <v>0</v>
      </c>
      <c r="AN23" s="1240">
        <f t="shared" si="6"/>
        <v>0</v>
      </c>
      <c r="AO23" s="1242">
        <f>IF(ISNUMBER(((NºAsuntos!I23/NºAsuntos!G23)*11)/factor_trimestre),((NºAsuntos!I23/NºAsuntos!G23)*11)/factor_trimestre," - ")</f>
        <v>1.8515219005196732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2309</v>
      </c>
      <c r="G31" s="1117">
        <f t="shared" si="12"/>
        <v>2581</v>
      </c>
      <c r="H31" s="1118">
        <f t="shared" si="12"/>
        <v>0</v>
      </c>
      <c r="I31" s="1117">
        <f t="shared" si="12"/>
        <v>0</v>
      </c>
      <c r="J31" s="1119">
        <f t="shared" si="12"/>
        <v>0</v>
      </c>
      <c r="K31" s="1117">
        <f t="shared" si="12"/>
        <v>0</v>
      </c>
      <c r="L31" s="1120">
        <f t="shared" si="12"/>
        <v>0</v>
      </c>
      <c r="M31" s="1117">
        <f t="shared" si="12"/>
        <v>0</v>
      </c>
      <c r="N31" s="1118">
        <f t="shared" si="12"/>
        <v>617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2706</v>
      </c>
      <c r="Z31" s="1124">
        <f t="shared" si="13"/>
        <v>766</v>
      </c>
      <c r="AA31" s="1125">
        <f t="shared" si="13"/>
        <v>2640</v>
      </c>
      <c r="AB31" s="1125">
        <f t="shared" si="13"/>
        <v>0</v>
      </c>
      <c r="AC31" s="1125">
        <f t="shared" si="13"/>
        <v>0</v>
      </c>
      <c r="AD31" s="1126">
        <f t="shared" si="13"/>
        <v>0</v>
      </c>
      <c r="AE31" s="1126">
        <f t="shared" si="13"/>
        <v>13551</v>
      </c>
      <c r="AF31" s="1127">
        <f t="shared" si="13"/>
        <v>0</v>
      </c>
      <c r="AG31" s="1128">
        <f t="shared" si="13"/>
        <v>0</v>
      </c>
      <c r="AH31" s="1129">
        <f t="shared" si="13"/>
        <v>0</v>
      </c>
      <c r="AI31" s="1127">
        <f t="shared" si="13"/>
        <v>0</v>
      </c>
      <c r="AJ31" s="1117">
        <f t="shared" si="13"/>
        <v>810</v>
      </c>
      <c r="AK31" s="1117">
        <f t="shared" si="13"/>
        <v>2669</v>
      </c>
      <c r="AL31" s="1117">
        <f t="shared" si="13"/>
        <v>0</v>
      </c>
      <c r="AM31" s="1130">
        <f t="shared" si="13"/>
        <v>0</v>
      </c>
      <c r="AN31" s="1120">
        <f>IF(ISNUMBER(Datos!K31/Datos!J31),Datos!K31/Datos!J31," - ")</f>
        <v>0.98849414614452968</v>
      </c>
      <c r="AO31" s="1120">
        <f>IF(ISNUMBER(FIND("06",Criterios!A8,1)),(IF(ISNUMBER(((Datos!R31/Datos!Q31)*11)/factor_trimestre),((Datos!R31/Datos!Q31)*11)/factor_trimestre," - ")),(IF(ISNUMBER(((Datos!L31/Datos!K31)*11)/factor_trimestre),((Datos!L31/Datos!K31)*11)/factor_trimestre," - ")))</f>
        <v>4.347968143761487</v>
      </c>
      <c r="AP31" s="1131" t="str">
        <f>IF(ISNUMBER(Datos!CI31/Datos!CJ31),Datos!CI31/Datos!CJ31," - ")</f>
        <v xml:space="preserve"> - </v>
      </c>
      <c r="AQ31" s="1131">
        <f>IF(OR(ISNUMBER(FIND("01",Criterios!A8,1)),ISNUMBER(FIND("02",Criterios!A8,1)),ISNUMBER(FIND("03",Criterios!A8,1)),ISNUMBER(FIND("04",Criterios!A8,1))),(J31-Y31+K31)/(F31-K31),(I31-Y31+K31)/(F31-K31))</f>
        <v>-1.1719359029883065</v>
      </c>
      <c r="AR31" s="1131">
        <f>IF(ISNUMBER((Datos!P31-Datos!Q31+O31)/(Datos!R31-Datos!P31+Datos!Q31-O31)),(Datos!P31-Datos!Q31+O31)/(Datos!R31-Datos!P31+Datos!Q31-O31)," - ")</f>
        <v>-1.0875912408759124E-2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1081.9908810459849</v>
      </c>
      <c r="G33" s="674">
        <f>IF(ISNUMBER(STDEV(G8:G30)),STDEV(G8:G30),"-")</f>
        <v>1068.319374398071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189.36678108310809</v>
      </c>
      <c r="AK33" s="276"/>
      <c r="AL33" s="276">
        <f>IF(ISNUMBER(STDEV(AL8:AL30)),STDEV(AL8:AL30),"-")</f>
        <v>0</v>
      </c>
      <c r="AM33" s="278">
        <f>IF(ISNUMBER(STDEV(AM8:AM30)),STDEV(AM8:AM30),"-")</f>
        <v>0</v>
      </c>
      <c r="AN33" s="660">
        <f>IF(ISNUMBER(STDEV(AN8:AN30)),STDEV(AN8:AN30),"-")</f>
        <v>0</v>
      </c>
      <c r="AO33" s="661">
        <f>IF(ISNUMBER(STDEV(AO8:AO30)),STDEV(AO8:AO30),"-")</f>
        <v>8.0557390283710841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mihN8/2scv3Wf+b5c6FrU3Jew1wtljpVVuiMROslEPZ6VYM71MTsQADyFGPb2UaDpv3n+wX0GiSHwxV/brjDQ==" saltValue="pf6OJiU2IG32UEaOgaQO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Bpao2/1/B7ktpUKqs+rFeDCaKwjEUdtvkIl3DLanIIUON4UhG3XHdFS1+rffgDbmmfbkb+0QoDrBai3I5x4VWw==" saltValue="na9Ao5KD0A1+ndjd78sc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Lb610/3GQiRLZJo9+K+x+kw6HsvDl+7W1DvzKPZFRuMvGuWHlfzo8WKviuhKllyFyOJX3ssGd1I/siQGqORg==" saltValue="eMtDXo/+JMVfstN1zkYQ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GUADALAJARA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0.19679054054054054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0.1391519256895824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xHIYBnZzIq6zmq3VeIcbZ+DLWYntyyIffJ9MWxo0JPG4gNUEaGfDICP4tOiFFzXuK7dcAJ/vV0pH6HvxgcYQg==" saltValue="0uCiAplGHsmyq7OcSCw/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3lMpW0Z4p2K/PrMRByegb9+V4ldZ+64rDkV0wacFZo69DkR/HdNlc6G5uFUR7TvkgmBWvdxDJ47VjYrIMVdMmA==" saltValue="VkX+0EX2InrKLycdjm3Q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GUADALAJARA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6902</v>
      </c>
      <c r="D9" s="452">
        <f>IF(ISNUMBER(C9/Datos!BH9),C9/Datos!BH9," - ")</f>
        <v>1150.3333333333333</v>
      </c>
      <c r="E9" s="451">
        <f>IF(ISNUMBER(IF(J_V="SI",Datos!J9,Datos!J9+Datos!Z9)),IF(J_V="SI",Datos!J9,Datos!J9+Datos!Z9)," - ")</f>
        <v>2069</v>
      </c>
      <c r="F9" s="452">
        <f>IF(ISNUMBER(E9/B9),E9/B9," - ")</f>
        <v>295.57142857142856</v>
      </c>
      <c r="G9" s="451">
        <f>IF(ISNUMBER(IF(J_V="SI",Datos!K9,Datos!K9+Datos!AA9)),IF(J_V="SI",Datos!K9,Datos!K9+Datos!AA9)," - ")</f>
        <v>2088</v>
      </c>
      <c r="H9" s="452">
        <f>IF(ISNUMBER(G9/B9),G9/B9," - ")</f>
        <v>298.28571428571428</v>
      </c>
      <c r="I9" s="451">
        <f>IF(ISNUMBER(IF(J_V="SI",Datos!L9,Datos!L9+Datos!AB9)),IF(J_V="SI",Datos!L9,Datos!L9+Datos!AB9)," - ")</f>
        <v>6821</v>
      </c>
      <c r="J9" s="452">
        <f>IF(ISNUMBER(I9/B9),I9/B9," - ")</f>
        <v>974.42857142857144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145</v>
      </c>
      <c r="D10" s="452">
        <f>IF(ISNUMBER(C10/Datos!BH10),C10/Datos!BH10," - ")</f>
        <v>145</v>
      </c>
      <c r="E10" s="451">
        <f>IF(ISNUMBER(Datos!J10),Datos!J10," - ")</f>
        <v>13</v>
      </c>
      <c r="F10" s="452">
        <f>IF(ISNUMBER(E10/B10),E10/B10," - ")</f>
        <v>13</v>
      </c>
      <c r="G10" s="451">
        <f>IF(ISNUMBER(Datos!K10),Datos!K10," - ")</f>
        <v>12</v>
      </c>
      <c r="H10" s="452">
        <f>IF(ISNUMBER(G10/B10),G10/B10," - ")</f>
        <v>12</v>
      </c>
      <c r="I10" s="451">
        <f>IF(ISNUMBER(Datos!L10),Datos!L10," - ")</f>
        <v>146</v>
      </c>
      <c r="J10" s="452">
        <f>IF(ISNUMBER(I10/B10),I10/B10," - ")</f>
        <v>146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1596</v>
      </c>
      <c r="D11" s="452">
        <f>IF(ISNUMBER(C11/Datos!BH11),C11/Datos!BH11," - ")</f>
        <v>1596</v>
      </c>
      <c r="E11" s="451">
        <f>IF(ISNUMBER(IF(J_V="SI",Datos!J11,Datos!J11+Datos!Z11)),IF(J_V="SI",Datos!J11,Datos!J11+Datos!Z11)," - ")</f>
        <v>341</v>
      </c>
      <c r="F11" s="452">
        <f>IF(ISNUMBER(E11/B11),E11/B11," - ")</f>
        <v>341</v>
      </c>
      <c r="G11" s="451">
        <f>IF(ISNUMBER(IF(J_V="SI",Datos!K11,Datos!K11+Datos!AA11)),IF(J_V="SI",Datos!K11,Datos!K11+Datos!AA11)," - ")</f>
        <v>268</v>
      </c>
      <c r="H11" s="452">
        <f>IF(ISNUMBER(G11/B11),G11/B11," - ")</f>
        <v>268</v>
      </c>
      <c r="I11" s="451">
        <f>IF(ISNUMBER(IF(J_V="SI",Datos!L11,Datos!L11+Datos!AB11)),IF(J_V="SI",Datos!L11,Datos!L11+Datos!AB11)," - ")</f>
        <v>1669</v>
      </c>
      <c r="J11" s="452">
        <f>IF(ISNUMBER(I11/B11),I11/B11," - ")</f>
        <v>1669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8643</v>
      </c>
      <c r="D14" s="1147" t="str">
        <f>IF(ISNUMBER(C14/Datos!BI14),C14/Datos!BI14," - ")</f>
        <v xml:space="preserve"> - </v>
      </c>
      <c r="E14" s="1146">
        <f>SUBTOTAL(9,E8:E13)</f>
        <v>2423</v>
      </c>
      <c r="F14" s="1147">
        <f>IF(ISNUMBER(E14/B14),E14/B14," - ")</f>
        <v>302.875</v>
      </c>
      <c r="G14" s="1146">
        <f>SUBTOTAL(9,G8:G13)</f>
        <v>2368</v>
      </c>
      <c r="H14" s="1147">
        <f>IF(ISNUMBER(G14/B14),G14/B14," - ")</f>
        <v>296</v>
      </c>
      <c r="I14" s="1146">
        <f>SUBTOTAL(9,I8:I13)</f>
        <v>8636</v>
      </c>
      <c r="J14" s="1147">
        <f>IF(ISNUMBER(I14/B14),I14/B14," - ")</f>
        <v>1079.5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2143</v>
      </c>
      <c r="D16" s="452">
        <f>IF(ISNUMBER(C16/Datos!BH16),C16/Datos!BH16," - ")</f>
        <v>535.75</v>
      </c>
      <c r="E16" s="451">
        <f>IF(ISNUMBER(IF(D_I="SI",Datos!J16,Datos!J16+Datos!AD16)),IF(D_I="SI",Datos!J16,Datos!J16+Datos!AD16)," - ")</f>
        <v>2503</v>
      </c>
      <c r="F16" s="452">
        <f>IF(ISNUMBER(E16/B16),E16/B16," - ")</f>
        <v>625.75</v>
      </c>
      <c r="G16" s="451">
        <f>IF(ISNUMBER(IF(D_I="SI",Datos!K16,Datos!K16+Datos!AE16)),IF(D_I="SI",Datos!K16,Datos!K16+Datos!AE16)," - ")</f>
        <v>2492</v>
      </c>
      <c r="H16" s="452">
        <f>IF(ISNUMBER(G16/B16),G16/B16," - ")</f>
        <v>623</v>
      </c>
      <c r="I16" s="451">
        <f>IF(ISNUMBER(IF(D_I="SI",Datos!L16,Datos!L16+Datos!AF16)),IF(D_I="SI",Datos!L16,Datos!L16+Datos!AF16)," - ")</f>
        <v>2175</v>
      </c>
      <c r="J16" s="452">
        <f>IF(ISNUMBER(I16/B16),I16/B16," - ")</f>
        <v>543.75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293</v>
      </c>
      <c r="D18" s="452">
        <f>IF(ISNUMBER(C18/Datos!BH18),C18/Datos!BH18," - ")</f>
        <v>293</v>
      </c>
      <c r="E18" s="451">
        <f>IF(ISNUMBER(IF(D_I="SI",Datos!J18,Datos!J18+Datos!AD18)),IF(D_I="SI",Datos!J18,Datos!J18+Datos!AD18)," - ")</f>
        <v>221</v>
      </c>
      <c r="F18" s="452">
        <f>IF(ISNUMBER(E18/B18),E18/B18," - ")</f>
        <v>221</v>
      </c>
      <c r="G18" s="451">
        <f>IF(ISNUMBER(IF(D_I="SI",Datos!K18,Datos!K18+Datos!AE18)),IF(D_I="SI",Datos!K18,Datos!K18+Datos!AE18)," - ")</f>
        <v>202</v>
      </c>
      <c r="H18" s="452">
        <f>IF(ISNUMBER(G18/B18),G18/B18," - ")</f>
        <v>202</v>
      </c>
      <c r="I18" s="451">
        <f>IF(ISNUMBER(IF(D_I="SI",Datos!L18,Datos!L18+Datos!AF18)),IF(D_I="SI",Datos!L18,Datos!L18+Datos!AF18)," - ")</f>
        <v>319</v>
      </c>
      <c r="J18" s="452">
        <f>IF(ISNUMBER(I18/B18),I18/B18," - ")</f>
        <v>319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2436</v>
      </c>
      <c r="D23" s="1147" t="str">
        <f>IF(ISNUMBER(C23/Datos!BI23),C23/Datos!BI23," - ")</f>
        <v xml:space="preserve"> - </v>
      </c>
      <c r="E23" s="1146">
        <f>SUBTOTAL(9,E15:E22)</f>
        <v>2724</v>
      </c>
      <c r="F23" s="1147">
        <f>IF(ISNUMBER(E23/B23),E23/B23," - ")</f>
        <v>681</v>
      </c>
      <c r="G23" s="1146">
        <f>SUBTOTAL(9,G15:G22)</f>
        <v>2694</v>
      </c>
      <c r="H23" s="1147">
        <f>IF(ISNUMBER(G23/B23),G23/B23," - ")</f>
        <v>673.5</v>
      </c>
      <c r="I23" s="1146">
        <f>SUBTOTAL(9,I15:I22)</f>
        <v>2494</v>
      </c>
      <c r="J23" s="1147">
        <f>IF(ISNUMBER(I23/B23),I23/B23," - ")</f>
        <v>623.5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11079</v>
      </c>
      <c r="D31" s="1085" t="str">
        <f>IF(ISNUMBER(C31/Datos!BI31),C31/Datos!BI31," - ")</f>
        <v xml:space="preserve"> - </v>
      </c>
      <c r="E31" s="1084">
        <f>SUBTOTAL(9,E9:E30)</f>
        <v>5147</v>
      </c>
      <c r="F31" s="1085">
        <f>IF(ISNUMBER(E31/B31),E31/B31," - ")</f>
        <v>428.91666666666669</v>
      </c>
      <c r="G31" s="1084">
        <f>SUBTOTAL(9,G9:G30)</f>
        <v>5062</v>
      </c>
      <c r="H31" s="1085">
        <f>IF(ISNUMBER(G31/B31),G31/B31," - ")</f>
        <v>421.83333333333331</v>
      </c>
      <c r="I31" s="1084">
        <f>SUBTOTAL(9,I9:I30)</f>
        <v>11130</v>
      </c>
      <c r="J31" s="1085">
        <f>IF(ISNUMBER(I31/B31),I31/B31," - ")</f>
        <v>927.5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fn9SRzIDqku4JCiYTMJNFUQSOLf1vWf3EG9SbJPgP+LZJAj8XU41MJTF8HJnKjRyVhbpHGM9KIxqKjb55zgAw==" saltValue="zUQBhouA9HkNyTAqmW14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GUADALAJARA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145</v>
      </c>
      <c r="G10" s="906">
        <f>IF(ISNUMBER(Datos!I10),Datos!I10," - ")</f>
        <v>145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24.333333333333329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145</v>
      </c>
      <c r="G14" s="1256">
        <f t="shared" si="0"/>
        <v>145</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0</v>
      </c>
      <c r="AE14" s="1257">
        <f t="shared" si="1"/>
        <v>0</v>
      </c>
      <c r="AF14" s="1257">
        <f t="shared" si="1"/>
        <v>146</v>
      </c>
      <c r="AG14" s="1257">
        <f t="shared" si="1"/>
        <v>0</v>
      </c>
      <c r="AH14" s="1257">
        <f t="shared" si="1"/>
        <v>29</v>
      </c>
      <c r="AI14" s="1257">
        <f t="shared" si="1"/>
        <v>0</v>
      </c>
      <c r="AJ14" s="1257">
        <f t="shared" si="1"/>
        <v>0</v>
      </c>
      <c r="AK14" s="1257">
        <f t="shared" si="1"/>
        <v>0</v>
      </c>
      <c r="AL14" s="1257">
        <f t="shared" si="1"/>
        <v>6</v>
      </c>
      <c r="AM14" s="1257">
        <f t="shared" si="1"/>
        <v>1</v>
      </c>
      <c r="AN14" s="1257">
        <f t="shared" si="1"/>
        <v>0</v>
      </c>
      <c r="AO14" s="1257">
        <f t="shared" si="1"/>
        <v>0</v>
      </c>
      <c r="AP14" s="1262">
        <f>IF(ISNUMBER(((Datos!L14/Datos!K14)*11)/factor_trimestre),((Datos!L14/Datos!K14)*11)/factor_trimestre," - ")</f>
        <v>7.4008170676350433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-8.2758620689655171E-2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1.8515219005196732</v>
      </c>
      <c r="AQ23" s="1262">
        <f>IF(ISNUMBER(((Datos!M23/Datos!L23)*11)/factor_trimestre),((Datos!M23/Datos!L23)*11)/factor_trimestre," - ")</f>
        <v>0.27586206896551724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-4.6558704453441298E-2</v>
      </c>
      <c r="AW23" s="1265">
        <f>IF(ISNUMBER((Datos!Q23-Datos!R23)/(Datos!S23-Datos!Q23+Datos!R23)),(Datos!Q23-Datos!R23)/(Datos!S23-Datos!Q23+Datos!R23)," - ")</f>
        <v>-0.12158341187558906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145</v>
      </c>
      <c r="G31" s="1278">
        <f t="shared" si="8"/>
        <v>145</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0</v>
      </c>
      <c r="AE31" s="1284">
        <f t="shared" si="9"/>
        <v>0</v>
      </c>
      <c r="AF31" s="1285">
        <f t="shared" si="9"/>
        <v>146</v>
      </c>
      <c r="AG31" s="1285">
        <f t="shared" si="9"/>
        <v>0</v>
      </c>
      <c r="AH31" s="1285">
        <f t="shared" si="9"/>
        <v>29</v>
      </c>
      <c r="AI31" s="1285">
        <f t="shared" si="9"/>
        <v>0</v>
      </c>
      <c r="AJ31" s="1286">
        <f t="shared" si="9"/>
        <v>0</v>
      </c>
      <c r="AK31" s="1286">
        <f t="shared" si="9"/>
        <v>0</v>
      </c>
      <c r="AL31" s="1278">
        <f t="shared" si="9"/>
        <v>6</v>
      </c>
      <c r="AM31" s="1278">
        <f t="shared" si="9"/>
        <v>1</v>
      </c>
      <c r="AN31" s="1278">
        <f t="shared" si="9"/>
        <v>0</v>
      </c>
      <c r="AO31" s="1278">
        <f t="shared" si="9"/>
        <v>0</v>
      </c>
      <c r="AP31" s="1278">
        <f>IF(ISNUMBER(((Datos!L31/Datos!K31)*11)/factor_trimestre),((Datos!L31/Datos!K31)*11)/factor_trimestre," - ")</f>
        <v>4.347968143761487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-8.2758620689655171E-2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-1.0875912408759124E-2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3.2702361450580972</v>
      </c>
      <c r="F33" s="1006">
        <f>IF(ISNUMBER(STDEV(F8:F30)),STDEV(F8:F30),"-")</f>
        <v>79.419770838249093</v>
      </c>
      <c r="G33" s="1007">
        <f>IF(ISNUMBER(STDEV(G8:G30)),STDEV(G8:G30),"-")</f>
        <v>79.419770838249093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11.711366481901942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1ltolGW/fXicMUIr3K1zePLZo7dqEQxRVjp21B1FrpDuQ6OG9K3BO0/2BQ6QgXPbbN8VgZBf00n8/taWOgOxg==" saltValue="NQkYpuamKry7ztqAYo5J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276</v>
      </c>
      <c r="B3" s="439" t="str">
        <f>Criterios!A10 &amp;"  "&amp;Criterios!B10</f>
        <v>Provincias  GUADALAJARA</v>
      </c>
      <c r="C3" s="463"/>
      <c r="F3" s="436"/>
      <c r="G3" s="436"/>
      <c r="H3" s="436"/>
    </row>
    <row r="4" spans="1:15" ht="13.5" thickBot="1">
      <c r="A4" s="436"/>
      <c r="B4" s="439" t="str">
        <f>Criterios!A11 &amp;"  "&amp;Criterios!B11</f>
        <v>Resumenes por Partidos Judiciales  GUADALAJARA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XyGzsnyxSjqXy0toDa628DsjvXo6ZmOV9m9xaEKMNA5mVkne5VAJ/OUl4uFdvBNxLn68MRilz1EifaOkO5lhQ==" saltValue="6S1p+eU++myntSCbbIqC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GUADALAJARA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376</v>
      </c>
      <c r="E9" s="452">
        <f t="shared" ref="E9:E14" si="0">IF(ISNUMBER(D9/B9),D9/B9," - ")</f>
        <v>53.714285714285715</v>
      </c>
      <c r="F9" s="451">
        <f>IF(ISNUMBER(Datos!N9),Datos!N9," - ")</f>
        <v>809</v>
      </c>
      <c r="G9" s="452">
        <f t="shared" ref="G9:G14" si="1">IF(ISNUMBER(F9/B9),F9/B9," - ")</f>
        <v>115.57142857142857</v>
      </c>
      <c r="H9" s="451">
        <f>IF(ISNUMBER(Datos!O9),Datos!O9," - ")</f>
        <v>814</v>
      </c>
      <c r="I9" s="452">
        <f>IF(ISNUMBER(H9/B9),H9/B9," - ")</f>
        <v>116.28571428571429</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84</v>
      </c>
      <c r="E11" s="452">
        <f t="shared" si="0"/>
        <v>84</v>
      </c>
      <c r="F11" s="451">
        <f>IF(ISNUMBER(Datos!N11),Datos!N11," - ")</f>
        <v>96</v>
      </c>
      <c r="G11" s="452">
        <f t="shared" si="1"/>
        <v>96</v>
      </c>
      <c r="H11" s="451">
        <f>IF(ISNUMBER(Datos!O11),Datos!O11," - ")</f>
        <v>147</v>
      </c>
      <c r="I11" s="452">
        <f t="shared" si="2"/>
        <v>147</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466</v>
      </c>
      <c r="E14" s="1147">
        <f t="shared" si="0"/>
        <v>51.777777777777779</v>
      </c>
      <c r="F14" s="1146">
        <f>SUBTOTAL(9,F9:F13)</f>
        <v>906</v>
      </c>
      <c r="G14" s="1147">
        <f t="shared" si="1"/>
        <v>100.66666666666667</v>
      </c>
      <c r="H14" s="1146">
        <f>SUBTOTAL(9,H9:H13)</f>
        <v>963</v>
      </c>
      <c r="I14" s="1147">
        <f>IF(ISNUMBER(H14/B14),H14/B14," - ")</f>
        <v>107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317</v>
      </c>
      <c r="E16" s="452">
        <f t="shared" ref="E16:E23" si="3">IF(ISNUMBER(D16/B16),D16/B16," - ")</f>
        <v>79.25</v>
      </c>
      <c r="F16" s="451">
        <f>IF(ISNUMBER(Datos!N16),Datos!N16," - ")</f>
        <v>1644</v>
      </c>
      <c r="G16" s="452">
        <f t="shared" ref="G16:G23" si="4">IF(ISNUMBER(F16/B16),F16/B16," - ")</f>
        <v>411</v>
      </c>
      <c r="H16" s="451">
        <f>IF(ISNUMBER(Datos!O16),Datos!O16," - ")</f>
        <v>72</v>
      </c>
      <c r="I16" s="452">
        <f t="shared" ref="I16:I22" si="5">IF(ISNUMBER(H16/B16),H16/B16," - ")</f>
        <v>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119</v>
      </c>
      <c r="G18" s="452">
        <f>IF(ISNUMBER(F18/B18),F18/B18," - ")</f>
        <v>119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344</v>
      </c>
      <c r="E23" s="1147">
        <f t="shared" si="3"/>
        <v>68.8</v>
      </c>
      <c r="F23" s="1146">
        <f>SUBTOTAL(9,F16:F22)</f>
        <v>1763</v>
      </c>
      <c r="G23" s="1147">
        <f t="shared" si="4"/>
        <v>352.6</v>
      </c>
      <c r="H23" s="1146">
        <f>SUBTOTAL(9,H16:H22)</f>
        <v>73</v>
      </c>
      <c r="I23" s="1147">
        <f>IF(ISNUMBER(H23/B23),H23/B23," - ")</f>
        <v>14.6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810</v>
      </c>
      <c r="E31" s="1085">
        <f>IF(ISNUMBER(D31/B31),D31/B31," - ")</f>
        <v>67.5</v>
      </c>
      <c r="F31" s="1084">
        <f>SUBTOTAL(9,F8:F30)</f>
        <v>2669</v>
      </c>
      <c r="G31" s="1085">
        <f>IF(ISNUMBER(F31/B31),F31/B31," - ")</f>
        <v>222.41666666666666</v>
      </c>
      <c r="H31" s="1084">
        <f>SUBTOTAL(9,H8:H30)</f>
        <v>1036</v>
      </c>
      <c r="I31" s="1085">
        <f>IF(ISNUMBER(H31/B31),H31/B31," - ")</f>
        <v>86.333333333333329</v>
      </c>
    </row>
    <row r="34" spans="1:1">
      <c r="A34" s="439" t="str">
        <f>Criterios!A4</f>
        <v>Fecha Informe: 06 may. 2023</v>
      </c>
    </row>
    <row r="39" spans="1:1">
      <c r="A39" s="462"/>
    </row>
  </sheetData>
  <sheetProtection algorithmName="SHA-512" hashValue="t6z1/V4NptpbSdbaxYoIi2lmWwyZ/HhChGwPfNpYJkcI4tje1CiC1vAA8W8dX6zrY1IISZQufcmwrnrkG/Busg==" saltValue="Thl3NId/HUqV9Ki8VdiS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GUADALAJARA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509</v>
      </c>
      <c r="C9" s="489">
        <f>IF(ISNUMBER(Datos!Q9),Datos!Q9," - ")</f>
        <v>551</v>
      </c>
      <c r="D9" s="456">
        <f>IF(ISNUMBER(Datos!R9),Datos!R9," - ")</f>
        <v>11964</v>
      </c>
    </row>
    <row r="10" spans="1:4">
      <c r="A10" s="450" t="str">
        <f>Datos!A10</f>
        <v>Jdos. Violencia contra la mujer</v>
      </c>
      <c r="B10" s="488">
        <f>IF(ISNUMBER(Datos!P10),Datos!P10," - ")</f>
        <v>4</v>
      </c>
      <c r="C10" s="489">
        <f>IF(ISNUMBER(Datos!Q10),Datos!Q10," - ")</f>
        <v>1</v>
      </c>
      <c r="D10" s="456">
        <f>IF(ISNUMBER(Datos!R10),Datos!R10," - ")</f>
        <v>99</v>
      </c>
    </row>
    <row r="11" spans="1:4">
      <c r="A11" s="450" t="str">
        <f>Datos!A11</f>
        <v xml:space="preserve">Jdos. Familia                                   </v>
      </c>
      <c r="B11" s="488">
        <f>IF(ISNUMBER(Datos!P11),Datos!P11," - ")</f>
        <v>43</v>
      </c>
      <c r="C11" s="489">
        <f>IF(ISNUMBER(Datos!Q11),Datos!Q11," - ")</f>
        <v>130</v>
      </c>
      <c r="D11" s="456">
        <f>IF(ISNUMBER(Datos!R11),Datos!R11," - ")</f>
        <v>988</v>
      </c>
    </row>
    <row r="12" spans="1:4">
      <c r="A12" s="450" t="str">
        <f>Datos!A12</f>
        <v xml:space="preserve">Jdos. 1ª Instª. e Instr.                        </v>
      </c>
      <c r="B12" s="488">
        <f>IF(ISNUMBER(Datos!P12),Datos!P12," - ")</f>
        <v>0</v>
      </c>
      <c r="C12" s="489">
        <f>IF(ISNUMBER(Datos!Q12),Datos!Q12," - ")</f>
        <v>0</v>
      </c>
      <c r="D12" s="456">
        <f>IF(ISNUMBER(Datos!R12),Datos!R12," - ")</f>
        <v>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556</v>
      </c>
      <c r="C14" s="1150">
        <f>SUBTOTAL(9,C9:C13)</f>
        <v>682</v>
      </c>
      <c r="D14" s="1148">
        <f>SUBTOTAL(9,D9:D13)</f>
        <v>13080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61</v>
      </c>
      <c r="C16" s="489">
        <f>IF(ISNUMBER(Datos!Q16),Datos!Q16," - ")</f>
        <v>83</v>
      </c>
      <c r="D16" s="456">
        <f>IF(ISNUMBER(Datos!R16),Datos!R16," - ")</f>
        <v>463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84</v>
      </c>
      <c r="D23" s="1148">
        <f>SUBTOTAL(9,D16:D22)</f>
        <v>471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617</v>
      </c>
      <c r="C31" s="1089">
        <f>SUBTOTAL(9,C8:C30)</f>
        <v>766</v>
      </c>
      <c r="D31" s="1090">
        <f>SUBTOTAL(9,D8:D30)</f>
        <v>13551</v>
      </c>
    </row>
    <row r="32" spans="1:4" ht="7.5" customHeight="1"/>
    <row r="33" spans="1:1" ht="6" customHeight="1"/>
    <row r="34" spans="1:1">
      <c r="A34" s="439" t="str">
        <f>Criterios!A4</f>
        <v>Fecha Informe: 06 may. 2023</v>
      </c>
    </row>
    <row r="39" spans="1:1">
      <c r="A39" s="462"/>
    </row>
  </sheetData>
  <sheetProtection algorithmName="SHA-512" hashValue="QCqvkaDR/WE11RsSCzRrd2hesMA73Ehlk1pVbyGXxoIztnPwV4LEA7BdS7fN7rER/QBE+6WPG3by5c8bqNiRng==" saltValue="sQKVJBvWWJmo5Iz2sNHy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GUADALAJARA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4.0554801748831602E-2</v>
      </c>
      <c r="C9" s="515">
        <f>IF(ISNUMBER(
   IF(J_V="SI",(Datos!J9-Datos!T9)/Datos!T9,(Datos!J9+Datos!Z9-(Datos!T9+Datos!AH9))/(Datos!T9+Datos!AH9))
     ),IF(J_V="SI",(Datos!J9-Datos!T9)/Datos!T9,(Datos!J9+Datos!Z9-(Datos!T9+Datos!AH9))/(Datos!T9+Datos!AH9))," - ")</f>
        <v>0.14183222958057395</v>
      </c>
      <c r="D9" s="515">
        <f>IF(ISNUMBER(
   IF(J_V="SI",(Datos!K9-Datos!U9)/Datos!U9,(Datos!K9+Datos!AA9-(Datos!U9+Datos!AI9))/(Datos!U9+Datos!AI9))
     ),IF(J_V="SI",(Datos!K9-Datos!U9)/Datos!U9,(Datos!K9+Datos!AA9-(Datos!U9+Datos!AI9))/(Datos!U9+Datos!AI9))," - ")</f>
        <v>0.18838929994308481</v>
      </c>
      <c r="E9" s="515">
        <f>IF(ISNUMBER(
   IF(J_V="SI",(Datos!L9-Datos!V9)/Datos!V9,(Datos!L9+Datos!AB9-(Datos!V9+Datos!AJ9))/(Datos!V9+Datos!AJ9))
     ),IF(J_V="SI",(Datos!L9-Datos!V9)/Datos!V9,(Datos!L9+Datos!AB9-(Datos!V9+Datos!AJ9))/(Datos!V9+Datos!AJ9))," - ")</f>
        <v>2.7413767133604459E-2</v>
      </c>
      <c r="F9" s="515">
        <f>IF(ISNUMBER((Datos!M9-Datos!W9)/Datos!W9),(Datos!M9-Datos!W9)/Datos!W9," - ")</f>
        <v>6.5155807365439092E-2</v>
      </c>
      <c r="G9" s="516">
        <f>IF(ISNUMBER((Datos!N9-Datos!X9)/Datos!X9),(Datos!N9-Datos!X9)/Datos!X9," - ")</f>
        <v>2.6649746192893401E-2</v>
      </c>
      <c r="H9" s="514">
        <f>IF(ISNUMBER(((NºAsuntos!G9/NºAsuntos!E9)-Datos!BD9)/Datos!BD9),((NºAsuntos!G9/NºAsuntos!E9)-Datos!BD9)/Datos!BD9," - ")</f>
        <v>4.0774002656775991E-2</v>
      </c>
      <c r="I9" s="515">
        <f>IF(ISNUMBER(((NºAsuntos!I9/NºAsuntos!G9)-Datos!BE9)/Datos!BE9),((NºAsuntos!I9/NºAsuntos!G9)-Datos!BE9)/Datos!BE9," - ")</f>
        <v>-0.13545690188996984</v>
      </c>
      <c r="J9" s="521">
        <f>IF(ISNUMBER((('Resol  Asuntos'!D9/NºAsuntos!G9)-Datos!BF9)/Datos!BF9),(('Resol  Asuntos'!D9/NºAsuntos!G9)-Datos!BF9)/Datos!BF9," - ")</f>
        <v>-0.59848396444755636</v>
      </c>
      <c r="K9" s="522">
        <f>IF(ISNUMBER((((NºAsuntos!C9+NºAsuntos!E9)/NºAsuntos!G9)-Datos!BG9)/Datos!BG9),(((NºAsuntos!C9+NºAsuntos!E9)/NºAsuntos!G9)-Datos!BG9)/Datos!BG9," - ")</f>
        <v>-0.10611331151081266</v>
      </c>
    </row>
    <row r="10" spans="1:11">
      <c r="A10" s="450" t="str">
        <f>Datos!A10</f>
        <v>Jdos. Violencia contra la mujer</v>
      </c>
      <c r="B10" s="514">
        <f>IF(ISNUMBER((Datos!I10-Datos!S10)/Datos!S10),(Datos!I10-Datos!S10)/Datos!S10," - ")</f>
        <v>-8.8050314465408799E-2</v>
      </c>
      <c r="C10" s="515">
        <f>IF(ISNUMBER((Datos!J10-Datos!T10)/Datos!T10),(Datos!J10-Datos!T10)/Datos!T10," - ")</f>
        <v>-0.56666666666666665</v>
      </c>
      <c r="D10" s="515">
        <f>IF(ISNUMBER((Datos!K10-Datos!U10)/Datos!U10),(Datos!K10-Datos!U10)/Datos!U10," - ")</f>
        <v>-0.52</v>
      </c>
      <c r="E10" s="515">
        <f>IF(ISNUMBER((Datos!L10-Datos!V10)/Datos!V10),(Datos!L10-Datos!V10)/Datos!V10," - ")</f>
        <v>-0.10975609756097561</v>
      </c>
      <c r="F10" s="515">
        <f>IF(ISNUMBER((Datos!M10-Datos!W10)/Datos!W10),(Datos!M10-Datos!W10)/Datos!W10," - ")</f>
        <v>-0.5</v>
      </c>
      <c r="G10" s="516">
        <f>IF(ISNUMBER((Datos!N10-Datos!X10)/Datos!X10),(Datos!N10-Datos!X10)/Datos!X10," - ")</f>
        <v>-0.90909090909090906</v>
      </c>
      <c r="H10" s="514">
        <f>IF(ISNUMBER(((NºAsuntos!G10/NºAsuntos!E10)-Datos!BD10)/Datos!BD10),((NºAsuntos!G10/NºAsuntos!E10)-Datos!BD10)/Datos!BD10," - ")</f>
        <v>0.1076923076923077</v>
      </c>
      <c r="I10" s="515">
        <f>IF(ISNUMBER(((NºAsuntos!I10/NºAsuntos!G10)-Datos!BE10)/Datos!BE10),((NºAsuntos!I10/NºAsuntos!G10)-Datos!BE10)/Datos!BE10," - ")</f>
        <v>0.85467479674796754</v>
      </c>
      <c r="J10" s="521">
        <f>IF(ISNUMBER((('Resol  Asuntos'!D10/NºAsuntos!G10)-Datos!BF10)/Datos!BF10),(('Resol  Asuntos'!D10/NºAsuntos!G10)-Datos!BF10)/Datos!BF10," - ")</f>
        <v>4.1666666666666706E-2</v>
      </c>
      <c r="K10" s="522">
        <f>IF(ISNUMBER((((NºAsuntos!C10+NºAsuntos!E10)/NºAsuntos!G10)-Datos!BG10)/Datos!BG10),(((NºAsuntos!C10+NºAsuntos!E10)/NºAsuntos!G10)-Datos!BG10)/Datos!BG10," - ")</f>
        <v>0.74162257495590833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0.13837375178316691</v>
      </c>
      <c r="C11" s="515">
        <f>IF(ISNUMBER(
   IF(J_V="SI",(Datos!J11-Datos!T11)/Datos!T11,(Datos!J11+Datos!Z11-(Datos!T11+Datos!AH11))/(Datos!T11+Datos!AH11))
     ),IF(J_V="SI",(Datos!J11-Datos!T11)/Datos!T11,(Datos!J11+Datos!Z11-(Datos!T11+Datos!AH11))/(Datos!T11+Datos!AH11))," - ")</f>
        <v>-3.125E-2</v>
      </c>
      <c r="D11" s="515">
        <f>IF(ISNUMBER(
   IF(J_V="SI",(Datos!K11-Datos!U11)/Datos!U11,(Datos!K11+Datos!AA11-(Datos!U11+Datos!AI11))/(Datos!U11+Datos!AI11))
     ),IF(J_V="SI",(Datos!K11-Datos!U11)/Datos!U11,(Datos!K11+Datos!AA11-(Datos!U11+Datos!AI11))/(Datos!U11+Datos!AI11))," - ")</f>
        <v>-0.21407624633431085</v>
      </c>
      <c r="E11" s="515">
        <f>IF(ISNUMBER(
   IF(J_V="SI",(Datos!L11-Datos!V11)/Datos!V11,(Datos!L11+Datos!AB11-(Datos!V11+Datos!AJ11))/(Datos!V11+Datos!AJ11))
     ),IF(J_V="SI",(Datos!L11-Datos!V11)/Datos!V11,(Datos!L11+Datos!AB11-(Datos!V11+Datos!AJ11))/(Datos!V11+Datos!AJ11))," - ")</f>
        <v>0.18117480537862704</v>
      </c>
      <c r="F11" s="515">
        <f>IF(ISNUMBER((Datos!M11-Datos!W11)/Datos!W11),(Datos!M11-Datos!W11)/Datos!W11," - ")</f>
        <v>-0.43243243243243246</v>
      </c>
      <c r="G11" s="516">
        <f>IF(ISNUMBER((Datos!N11-Datos!X11)/Datos!X11),(Datos!N11-Datos!X11)/Datos!X11," - ")</f>
        <v>-0.15044247787610621</v>
      </c>
      <c r="H11" s="514">
        <f>IF(ISNUMBER(((NºAsuntos!G11/NºAsuntos!E11)-Datos!BD11)/Datos!BD11),((NºAsuntos!G11/NºAsuntos!E11)-Datos!BD11)/Datos!BD11," - ")</f>
        <v>-0.18872386718380479</v>
      </c>
      <c r="I11" s="515">
        <f>IF(ISNUMBER(((NºAsuntos!I11/NºAsuntos!G11)-Datos!BE11)/Datos!BE11),((NºAsuntos!I11/NºAsuntos!G11)-Datos!BE11)/Datos!BE11," - ")</f>
        <v>0.50291271878399924</v>
      </c>
      <c r="J11" s="521">
        <f>IF(ISNUMBER((('Resol  Asuntos'!D11/NºAsuntos!G11)-Datos!BF11)/Datos!BF11),(('Resol  Asuntos'!D11/NºAsuntos!G11)-Datos!BF11)/Datos!BF11," - ")</f>
        <v>-5.4154008717474479E-2</v>
      </c>
      <c r="K11" s="522">
        <f>IF(ISNUMBER((((NºAsuntos!C11+NºAsuntos!E11)/NºAsuntos!G11)-Datos!BG11)/Datos!BG11),(((NºAsuntos!C11+NºAsuntos!E11)/NºAsuntos!G11)-Datos!BG11)/Datos!BG11," - ")</f>
        <v>0.4051400636498238</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5.2612349287541105E-2</v>
      </c>
      <c r="C14" s="1152">
        <f>IF(ISNUMBER(
   IF(J_V="SI",(Datos!J14-Datos!T14)/Datos!T14,(Datos!J14+Datos!Z14-(Datos!T14+Datos!AH14))/(Datos!T14+Datos!AH14))
     ),IF(J_V="SI",(Datos!J14-Datos!T14)/Datos!T14,(Datos!J14+Datos!Z14-(Datos!T14+Datos!AH14))/(Datos!T14+Datos!AH14))," - ")</f>
        <v>0.10036330608537693</v>
      </c>
      <c r="D14" s="1152">
        <f>IF(ISNUMBER(
   IF(J_V="SI",(Datos!K14-Datos!U14)/Datos!U14,(Datos!K14+Datos!AA14-(Datos!U14+Datos!AI14))/(Datos!U14+Datos!AI14))
     ),IF(J_V="SI",(Datos!K14-Datos!U14)/Datos!U14,(Datos!K14+Datos!AA14-(Datos!U14+Datos!AI14))/(Datos!U14+Datos!AI14))," - ")</f>
        <v>0.11173708920187793</v>
      </c>
      <c r="E14" s="1152">
        <f>IF(ISNUMBER(
   IF(J_V="SI",(Datos!L14-Datos!V14)/Datos!V14,(Datos!L14+Datos!AB14-(Datos!V14+Datos!AJ14))/(Datos!V14+Datos!AJ14))
     ),IF(J_V="SI",(Datos!L14-Datos!V14)/Datos!V14,(Datos!L14+Datos!AB14-(Datos!V14+Datos!AJ14))/(Datos!V14+Datos!AJ14))," - ")</f>
        <v>4.8821957736215692E-2</v>
      </c>
      <c r="F14" s="1153">
        <f>IF(ISNUMBER((Datos!M14-Datos!W14)/Datos!W14),(Datos!M14-Datos!W14)/Datos!W14," - ")</f>
        <v>-9.1617933723196876E-2</v>
      </c>
      <c r="G14" s="1154">
        <f>IF(ISNUMBER((Datos!N14-Datos!X14)/Datos!X14),(Datos!N14-Datos!X14)/Datos!X14," - ")</f>
        <v>-1.4145810663764961E-2</v>
      </c>
      <c r="H14" s="1154">
        <f>IF(ISNUMBER(((NºAsuntos!G14/NºAsuntos!E14)-Datos!BD14)/Datos!BD14),((NºAsuntos!G14/NºAsuntos!E14)-Datos!BD14)/Datos!BD14," - ")</f>
        <v>1.0336388948632038E-2</v>
      </c>
      <c r="I14" s="1154">
        <f>IF(ISNUMBER(((NºAsuntos!I14/NºAsuntos!G14)-Datos!BE14)/Datos!BE14),((NºAsuntos!I14/NºAsuntos!G14)-Datos!BE14)/Datos!BE14," - ")</f>
        <v>-5.6591735651123479E-2</v>
      </c>
      <c r="J14" s="1154">
        <f>IF(ISNUMBER((('Resol  Asuntos'!D14/NºAsuntos!G14)-Datos!BF14)/Datos!BF14),(('Resol  Asuntos'!D14/NºAsuntos!G14)-Datos!BF14)/Datos!BF14," - ")</f>
        <v>-0.5443871180963572</v>
      </c>
      <c r="K14" s="1154">
        <f>IF(ISNUMBER((((NºAsuntos!C14+NºAsuntos!E14)/NºAsuntos!G14)-Datos!BG14)/Datos!BG14),(((NºAsuntos!C14+NºAsuntos!E14)/NºAsuntos!G14)-Datos!BG14)/Datos!BG14," - ")</f>
        <v>-4.4099468959019547E-2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-5.6778169014084508E-2</v>
      </c>
      <c r="C16" s="515">
        <f>IF(ISNUMBER(
   IF(D_I="SI",(Datos!J16-Datos!T16)/Datos!T16,(Datos!J16+Datos!AD16-(Datos!T16+Datos!AL16))/(Datos!T16+Datos!AL16))
     ),IF(D_I="SI",(Datos!J16-Datos!T16)/Datos!T16,(Datos!J16+Datos!AD16-(Datos!T16+Datos!AL16))/(Datos!T16+Datos!AL16))," - ")</f>
        <v>0.10361552028218694</v>
      </c>
      <c r="D16" s="515">
        <f>IF(ISNUMBER(
   IF(D_I="SI",(Datos!K16-Datos!U16)/Datos!U16,(Datos!K16+Datos!AE16-(Datos!U16+Datos!AM16))/(Datos!U16+Datos!AM16))
     ),IF(D_I="SI",(Datos!K16-Datos!U16)/Datos!U16,(Datos!K16+Datos!AE16-(Datos!U16+Datos!AM16))/(Datos!U16+Datos!AM16))," - ")</f>
        <v>0.10706352732119058</v>
      </c>
      <c r="E16" s="515">
        <f>IF(ISNUMBER(
   IF(D_I="SI",(Datos!L16-Datos!V16)/Datos!V16,(Datos!L16+Datos!AF16-(Datos!V16+Datos!AN16))/(Datos!V16+Datos!AN16))
     ),IF(D_I="SI",(Datos!L16-Datos!V16)/Datos!V16,(Datos!L16+Datos!AF16-(Datos!V16+Datos!AN16))/(Datos!V16+Datos!AN16))," - ")</f>
        <v>-5.884898312418866E-2</v>
      </c>
      <c r="F16" s="515">
        <f>IF(ISNUMBER((Datos!M16-Datos!W16)/Datos!W16),(Datos!M16-Datos!W16)/Datos!W16," - ")</f>
        <v>-1.8575851393188854E-2</v>
      </c>
      <c r="G16" s="516">
        <f>IF(ISNUMBER((Datos!N16-Datos!X16)/Datos!X16),(Datos!N16-Datos!X16)/Datos!X16," - ")</f>
        <v>0.18872017353579176</v>
      </c>
      <c r="H16" s="514">
        <f>IF(ISNUMBER(((NºAsuntos!G16/NºAsuntos!E16)-Datos!BD16)/Datos!BD16),((NºAsuntos!G16/NºAsuntos!E16)-Datos!BD16)/Datos!BD16," - ")</f>
        <v>3.1242828463684791E-3</v>
      </c>
      <c r="I16" s="515">
        <f>IF(ISNUMBER(((NºAsuntos!I16/NºAsuntos!G16)-Datos!BE16)/Datos!BE16),((NºAsuntos!I16/NºAsuntos!G16)-Datos!BE16)/Datos!BE16," - ")</f>
        <v>-0.1498671994432379</v>
      </c>
      <c r="J16" s="521">
        <f>IF(ISNUMBER((('Resol  Asuntos'!D16/NºAsuntos!G16)-Datos!BF16)/Datos!BF16),(('Resol  Asuntos'!D16/NºAsuntos!G16)-Datos!BF16)/Datos!BF16," - ")</f>
        <v>-0.11348886094946549</v>
      </c>
      <c r="K16" s="522">
        <f>IF(ISNUMBER((((NºAsuntos!C16+NºAsuntos!E16)/NºAsuntos!G16)-Datos!BG16)/Datos!BG16),(((NºAsuntos!C16+NºAsuntos!E16)/NºAsuntos!G16)-Datos!BG16)/Datos!BG16," - ")</f>
        <v>-7.5619427100642678E-2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-0.44083969465648853</v>
      </c>
      <c r="C18" s="515">
        <f>IF(ISNUMBER(
   IF(D_I="SI",(Datos!J18-Datos!T18)/Datos!T18,(Datos!J18+Datos!AD18-(Datos!T18+Datos!AL18))/(Datos!T18+Datos!AL18))
     ),IF(D_I="SI",(Datos!J18-Datos!T18)/Datos!T18,(Datos!J18+Datos!AD18-(Datos!T18+Datos!AL18))/(Datos!T18+Datos!AL18))," - ")</f>
        <v>-0.35190615835777128</v>
      </c>
      <c r="D18" s="515">
        <f>IF(ISNUMBER(
   IF(D_I="SI",(Datos!K18-Datos!U18)/Datos!U18,(Datos!K18+Datos!AE18-(Datos!U18+Datos!AM18))/(Datos!U18+Datos!AM18))
     ),IF(D_I="SI",(Datos!K18-Datos!U18)/Datos!U18,(Datos!K18+Datos!AE18-(Datos!U18+Datos!AM18))/(Datos!U18+Datos!AM18))," - ")</f>
        <v>-0.48337595907928388</v>
      </c>
      <c r="E18" s="515">
        <f>IF(ISNUMBER(
   IF(D_I="SI",(Datos!L18-Datos!V18)/Datos!V18,(Datos!L18+Datos!AF18-(Datos!V18+Datos!AN18))/(Datos!V18+Datos!AN18))
     ),IF(D_I="SI",(Datos!L18-Datos!V18)/Datos!V18,(Datos!L18+Datos!AF18-(Datos!V18+Datos!AN18))/(Datos!V18+Datos!AN18))," - ")</f>
        <v>-0.33123689727463312</v>
      </c>
      <c r="F18" s="515">
        <f>IF(ISNUMBER((Datos!M18-Datos!W18)/Datos!W18),(Datos!M18-Datos!W18)/Datos!W18," - ")</f>
        <v>-0.18181818181818182</v>
      </c>
      <c r="G18" s="516">
        <f>IF(ISNUMBER((Datos!N18-Datos!X18)/Datos!X18),(Datos!N18-Datos!X18)/Datos!X18," - ")</f>
        <v>-0.52777777777777779</v>
      </c>
      <c r="H18" s="514">
        <f>IF(ISNUMBER(((NºAsuntos!G18/NºAsuntos!E18)-Datos!BD18)/Datos!BD18),((NºAsuntos!G18/NºAsuntos!E18)-Datos!BD18)/Datos!BD18," - ")</f>
        <v>-0.20285611785536573</v>
      </c>
      <c r="I18" s="515">
        <f>IF(ISNUMBER(((NºAsuntos!I18/NºAsuntos!G18)-Datos!BE18)/Datos!BE18),((NºAsuntos!I18/NºAsuntos!G18)-Datos!BE18)/Datos!BE18," - ")</f>
        <v>0.2944869958693983</v>
      </c>
      <c r="J18" s="521">
        <f>IF(ISNUMBER((('Resol  Asuntos'!D18/NºAsuntos!G18)-Datos!BF18)/Datos!BF18),(('Resol  Asuntos'!D18/NºAsuntos!G18)-Datos!BF18)/Datos!BF18," - ")</f>
        <v>0.58370837083708393</v>
      </c>
      <c r="K18" s="522">
        <f>IF(ISNUMBER((((NºAsuntos!C18+NºAsuntos!E18)/NºAsuntos!G18)-Datos!BG18)/Datos!BG18),(((NºAsuntos!C18+NºAsuntos!E18)/NºAsuntos!G18)-Datos!BG18)/Datos!BG18," - ")</f>
        <v>0.15019744749041369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-0.12875536480686695</v>
      </c>
      <c r="C23" s="1152">
        <f>IF(ISNUMBER(
   IF(Criterios!B14="SI",(Datos!J23-Datos!T23)/Datos!T23,(Datos!J23+Datos!AD23-(Datos!T23+Datos!AL23))/(Datos!T23+Datos!AL23))
     ),IF(Criterios!B14="SI",(Datos!J23-Datos!T23)/Datos!T23,(Datos!J23+Datos!AD23-(Datos!T23+Datos!AL23))/(Datos!T23+Datos!AL23))," - ")</f>
        <v>4.4078190877730933E-2</v>
      </c>
      <c r="D23" s="1152">
        <f>IF(ISNUMBER(
   IF(Criterios!B14="SI",(Datos!K23-Datos!U23)/Datos!U23,(Datos!K23+Datos!AE23-(Datos!U23+Datos!AM23))/(Datos!U23+Datos!AM23))
     ),IF(Criterios!B14="SI",(Datos!K23-Datos!U23)/Datos!U23,(Datos!K23+Datos!AE23-(Datos!U23+Datos!AM23))/(Datos!U23+Datos!AM23))," - ")</f>
        <v>1.968205904617714E-2</v>
      </c>
      <c r="E23" s="1152">
        <f>IF(ISNUMBER(
   IF(Criterios!B14="SI",(Datos!L23-Datos!V23)/Datos!V23,(Datos!L23+Datos!AF23-(Datos!V23+Datos!AN23))/(Datos!V23+Datos!AN23))
     ),IF(Criterios!B14="SI",(Datos!L23-Datos!V23)/Datos!V23,(Datos!L23+Datos!AF23-(Datos!V23+Datos!AN23))/(Datos!V23+Datos!AN23))," - ")</f>
        <v>-0.1054519368723099</v>
      </c>
      <c r="F23" s="1153">
        <f>IF(ISNUMBER((Datos!M23-Datos!W23)/Datos!W23),(Datos!M23-Datos!W23)/Datos!W23," - ")</f>
        <v>-3.3707865168539325E-2</v>
      </c>
      <c r="G23" s="1154">
        <f>IF(ISNUMBER((Datos!N23-Datos!X23)/Datos!X23),(Datos!N23-Datos!X23)/Datos!X23," - ")</f>
        <v>7.8287461773700301E-2</v>
      </c>
      <c r="H23" s="1154">
        <f>IF(ISNUMBER(((NºAsuntos!G23/NºAsuntos!E23)-Datos!BD23)/Datos!BD23),((NºAsuntos!G23/NºAsuntos!E23)-Datos!BD23)/Datos!BD23," - ")</f>
        <v>-2.3366192345273144E-2</v>
      </c>
      <c r="I23" s="1154">
        <f>IF(ISNUMBER(((NºAsuntos!I23/NºAsuntos!G23)-Datos!BE23)/Datos!BE23),((NºAsuntos!I23/NºAsuntos!G23)-Datos!BE23)/Datos!BE23," - ")</f>
        <v>-0.12271864039222084</v>
      </c>
      <c r="J23" s="1154">
        <f>IF(ISNUMBER((('Resol  Asuntos'!D23/NºAsuntos!G23)-Datos!BF23)/Datos!BF23),(('Resol  Asuntos'!D23/NºAsuntos!G23)-Datos!BF23)/Datos!BF23," - ")</f>
        <v>-5.2359383732472585E-2</v>
      </c>
      <c r="K23" s="1154">
        <f>IF(ISNUMBER((((NºAsuntos!C23+NºAsuntos!E23)/NºAsuntos!G23)-Datos!BG23)/Datos!BG23),(((NºAsuntos!C23+NºAsuntos!E23)/NºAsuntos!G23)-Datos!BG23)/Datos!BG23," - ")</f>
        <v>-6.3755616860574085E-2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6.5412919051512676E-3</v>
      </c>
      <c r="C31" s="1092">
        <f>IF(ISNUMBER(
   IF(J_V="SI",(Datos!J31-Datos!T31)/Datos!T31,(Datos!J31+Datos!Z31-(Datos!T31+Datos!AH31))/(Datos!T31+Datos!AH31))
     ),IF(J_V="SI",(Datos!J31-Datos!T31)/Datos!T31,(Datos!J31+Datos!Z31-(Datos!T31+Datos!AH31))/(Datos!T31+Datos!AH31))," - ")</f>
        <v>6.9839950114321342E-2</v>
      </c>
      <c r="D31" s="1092">
        <f>IF(ISNUMBER(
   IF(J_V="SI",(Datos!K31-Datos!U31)/Datos!U31,(Datos!K31+Datos!AA31-(Datos!U31+Datos!AI31))/(Datos!U31+Datos!AI31))
     ),IF(J_V="SI",(Datos!K31-Datos!U31)/Datos!U31,(Datos!K31+Datos!AA31-(Datos!U31+Datos!AI31))/(Datos!U31+Datos!AI31))," - ")</f>
        <v>6.0771165129924559E-2</v>
      </c>
      <c r="E31" s="1092">
        <f>IF(ISNUMBER(
   IF(J_V="SI",(Datos!L31-Datos!V31)/Datos!V31,(Datos!L31+Datos!AB31-(Datos!V31+Datos!AJ31))/(Datos!V31+Datos!AJ31))
     ),IF(J_V="SI",(Datos!L31-Datos!V31)/Datos!V31,(Datos!L31+Datos!AB31-(Datos!V31+Datos!AJ31))/(Datos!V31+Datos!AJ31))," - ")</f>
        <v>9.7985846488840497E-3</v>
      </c>
      <c r="F31" s="1093">
        <f>IF(ISNUMBER((Datos!M31-Datos!W31)/Datos!W31),(Datos!M31-Datos!W31)/Datos!W31," - ")</f>
        <v>-6.789413118527042E-2</v>
      </c>
      <c r="G31" s="1094">
        <f>IF(ISNUMBER((Datos!N31-Datos!X31)/Datos!X31),(Datos!N31-Datos!X31)/Datos!X31," - ")</f>
        <v>4.5027407987470632E-2</v>
      </c>
      <c r="H31" s="1095">
        <f>IF(ISNUMBER((Tasas!B31-Datos!BD31)/Datos!BD31),(Tasas!B31-Datos!BD31)/Datos!BD31," - ")</f>
        <v>-8.4767679347062461E-3</v>
      </c>
      <c r="I31" s="1096">
        <f>IF(ISNUMBER((Tasas!C31-Datos!BE31)/Datos!BE31),(Tasas!C31-Datos!BE31)/Datos!BE31," - ")</f>
        <v>-4.8052381283193453E-2</v>
      </c>
      <c r="J31" s="1097">
        <f>IF(ISNUMBER((Tasas!D31-Datos!BF31)/Datos!BF31),(Tasas!D31-Datos!BF31)/Datos!BF31," - ")</f>
        <v>-0.4015709899441286</v>
      </c>
      <c r="K31" s="1097">
        <f>IF(ISNUMBER((Tasas!E31-Datos!BG31)/Datos!BG31),(Tasas!E31-Datos!BG31)/Datos!BG31," - ")</f>
        <v>-3.2973902718691779E-2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Pv2KP2Z6gOh6xjIKRv8mdQW/UkhLpj3KACyBWD9dR9A7cSsqJQw4RpQJ4n+7JnqbEiefAXbNeRJaego0BmHbw==" saltValue="s5fkNI63IxaMzw/0tmbt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GUADALAJARA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1.0091831802803286</v>
      </c>
      <c r="C9" s="498">
        <f>IF(ISNUMBER(NºAsuntos!I9/NºAsuntos!G9),NºAsuntos!I9/NºAsuntos!G9," - ")</f>
        <v>3.2667624521072796</v>
      </c>
      <c r="D9" s="499">
        <f>IF(ISNUMBER('Resol  Asuntos'!D9/NºAsuntos!G9),'Resol  Asuntos'!D9/NºAsuntos!G9," - ")</f>
        <v>0.18007662835249041</v>
      </c>
      <c r="E9" s="500">
        <f>IF(ISNUMBER((NºAsuntos!C9+NºAsuntos!E9)/NºAsuntos!G9),(NºAsuntos!C9+NºAsuntos!E9)/NºAsuntos!G9," - ")</f>
        <v>4.296455938697318</v>
      </c>
      <c r="G9" s="523"/>
    </row>
    <row r="10" spans="1:7">
      <c r="A10" s="450" t="str">
        <f>Datos!A10</f>
        <v>Jdos. Violencia contra la mujer</v>
      </c>
      <c r="B10" s="497">
        <f>IF(ISNUMBER(NºAsuntos!G10/NºAsuntos!E10),NºAsuntos!G10/NºAsuntos!E10," - ")</f>
        <v>0.92307692307692313</v>
      </c>
      <c r="C10" s="498">
        <f>IF(ISNUMBER(NºAsuntos!I10/NºAsuntos!G10),NºAsuntos!I10/NºAsuntos!G10," - ")</f>
        <v>12.166666666666666</v>
      </c>
      <c r="D10" s="499">
        <f>IF(ISNUMBER('Resol  Asuntos'!D10/NºAsuntos!G10),'Resol  Asuntos'!D10/NºAsuntos!G10," - ")</f>
        <v>0.5</v>
      </c>
      <c r="E10" s="500">
        <f>IF(ISNUMBER((NºAsuntos!C10+NºAsuntos!E10)/NºAsuntos!G10),(NºAsuntos!C10+NºAsuntos!E10)/NºAsuntos!G10," - ")</f>
        <v>13.166666666666666</v>
      </c>
      <c r="G10" s="523"/>
    </row>
    <row r="11" spans="1:7">
      <c r="A11" s="450" t="str">
        <f>Datos!A11</f>
        <v xml:space="preserve">Jdos. Familia                                   </v>
      </c>
      <c r="B11" s="497">
        <f>IF(ISNUMBER(NºAsuntos!G11/NºAsuntos!E11),NºAsuntos!G11/NºAsuntos!E11," - ")</f>
        <v>0.78592375366568912</v>
      </c>
      <c r="C11" s="498">
        <f>IF(ISNUMBER(NºAsuntos!I11/NºAsuntos!G11),NºAsuntos!I11/NºAsuntos!G11," - ")</f>
        <v>6.2276119402985071</v>
      </c>
      <c r="D11" s="499">
        <f>IF(ISNUMBER('Resol  Asuntos'!D11/NºAsuntos!G11),'Resol  Asuntos'!D11/NºAsuntos!G11," - ")</f>
        <v>0.31343283582089554</v>
      </c>
      <c r="E11" s="500">
        <f>IF(ISNUMBER((NºAsuntos!C11+NºAsuntos!E11)/NºAsuntos!G11),(NºAsuntos!C11+NºAsuntos!E11)/NºAsuntos!G11," - ")</f>
        <v>7.2276119402985071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0.97730086669418081</v>
      </c>
      <c r="C14" s="1156">
        <f>IF(ISNUMBER(NºAsuntos!I14/NºAsuntos!G14),NºAsuntos!I14/NºAsuntos!G14," - ")</f>
        <v>3.6469594594594597</v>
      </c>
      <c r="D14" s="1157">
        <f>IF(ISNUMBER('Resol  Asuntos'!D14/NºAsuntos!G14),'Resol  Asuntos'!D14/NºAsuntos!G14," - ")</f>
        <v>0.19679054054054054</v>
      </c>
      <c r="E14" s="1158">
        <f>IF(ISNUMBER((NºAsuntos!C14+NºAsuntos!E14)/NºAsuntos!G14),(NºAsuntos!C14+NºAsuntos!E14)/NºAsuntos!G14," - ")</f>
        <v>4.6731418918918921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0.99560527367159413</v>
      </c>
      <c r="C16" s="498">
        <f>IF(ISNUMBER(NºAsuntos!I16/NºAsuntos!G16),NºAsuntos!I16/NºAsuntos!G16," - ")</f>
        <v>0.872792937399679</v>
      </c>
      <c r="D16" s="499">
        <f>IF(ISNUMBER('Resol  Asuntos'!D16/NºAsuntos!G16),'Resol  Asuntos'!D16/NºAsuntos!G16," - ")</f>
        <v>0.12720706260032102</v>
      </c>
      <c r="E16" s="500">
        <f>IF(ISNUMBER((NºAsuntos!C16+NºAsuntos!E16)/NºAsuntos!G16),(NºAsuntos!C16+NºAsuntos!E16)/NºAsuntos!G16," - ")</f>
        <v>1.8643659711075442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0.91402714932126694</v>
      </c>
      <c r="C18" s="498">
        <f>IF(ISNUMBER(NºAsuntos!I18/NºAsuntos!G18),NºAsuntos!I18/NºAsuntos!G18," - ")</f>
        <v>1.5792079207920793</v>
      </c>
      <c r="D18" s="499">
        <f>IF(ISNUMBER('Resol  Asuntos'!D18/NºAsuntos!G18),'Resol  Asuntos'!D18/NºAsuntos!G18," - ")</f>
        <v>0.13366336633663367</v>
      </c>
      <c r="E18" s="500">
        <f>IF(ISNUMBER((NºAsuntos!C18+NºAsuntos!E18)/NºAsuntos!G18),(NºAsuntos!C18+NºAsuntos!E18)/NºAsuntos!G18," - ")</f>
        <v>2.5445544554455446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0.98898678414096919</v>
      </c>
      <c r="C23" s="1156">
        <f>IF(ISNUMBER(NºAsuntos!I23/NºAsuntos!G23),NºAsuntos!I23/NºAsuntos!G23," - ")</f>
        <v>0.92576095025983662</v>
      </c>
      <c r="D23" s="1159">
        <f>IF(ISNUMBER('Resol  Asuntos'!D23/NºAsuntos!G23),'Resol  Asuntos'!D23/NºAsuntos!G23," - ")</f>
        <v>0.12769116555308091</v>
      </c>
      <c r="E23" s="1158">
        <f>IF(ISNUMBER((NºAsuntos!C23+NºAsuntos!E23)/NºAsuntos!G23),(NºAsuntos!C23+NºAsuntos!E23)/NºAsuntos!G23," - ")</f>
        <v>1.9153674832962138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0.98348552554886337</v>
      </c>
      <c r="C31" s="1099">
        <f>IF(ISNUMBER(NºAsuntos!I31/NºAsuntos!G31),NºAsuntos!I31/NºAsuntos!G31," - ")</f>
        <v>2.1987356775977873</v>
      </c>
      <c r="D31" s="1100">
        <f>IF(ISNUMBER('Resol  Asuntos'!D31/NºAsuntos!G31),'Resol  Asuntos'!D31/NºAsuntos!G31," - ")</f>
        <v>0.16001580403002766</v>
      </c>
      <c r="E31" s="1101">
        <f>IF(ISNUMBER((NºAsuntos!C31+NºAsuntos!E31)/NºAsuntos!G31),(NºAsuntos!C31+NºAsuntos!E31)/NºAsuntos!G31," - ")</f>
        <v>3.2054523903595418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TeDa1PCZHFmK1j+kPKzLqpk5sqez1o9tzE9bYY8PhZrgijZEgHHV9Qo14Bhq3gLJx+GRpq6aq19GuVfoA79Qw==" saltValue="W1nit9qIQvSX1PfVzc34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GUADALAJARA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551</v>
      </c>
      <c r="Y9" s="374">
        <f>SUM(W9:X9)</f>
        <v>551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11964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376</v>
      </c>
      <c r="AJ9" s="243" t="str">
        <f>IF(ISNUMBER(Datos!BW9),Datos!BW9," - ")</f>
        <v xml:space="preserve"> - </v>
      </c>
      <c r="AK9" s="242" t="str">
        <f>IF(ISNUMBER(Datos!BX9),Datos!BX9," - ")</f>
        <v xml:space="preserve"> - </v>
      </c>
      <c r="AL9" s="266">
        <f>IF(ISNUMBER(NºAsuntos!G9/NºAsuntos!E9),NºAsuntos!G9/NºAsuntos!E9," - ")</f>
        <v>1.0091831802803286</v>
      </c>
      <c r="AM9" s="284">
        <f>IF(ISNUMBER(((NºAsuntos!I9/NºAsuntos!G9)*11)/factor_trimestre),((NºAsuntos!I9/NºAsuntos!G9)*11)/factor_trimestre," - ")</f>
        <v>6.5335249042145591</v>
      </c>
      <c r="AN9" s="267">
        <f>IF(ISNUMBER('Resol  Asuntos'!D9/NºAsuntos!G9),'Resol  Asuntos'!D9/NºAsuntos!G9," - ")</f>
        <v>0.18007662835249041</v>
      </c>
      <c r="AO9" s="268">
        <f>IF(ISNUMBER((NºAsuntos!C9+NºAsuntos!E9)/NºAsuntos!G9),(NºAsuntos!C9+NºAsuntos!E9)/NºAsuntos!G9," - ")</f>
        <v>4.296455938697318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145</v>
      </c>
      <c r="G10" s="373">
        <f>IF(ISNUMBER(Datos!I10),Datos!I10," - ")</f>
        <v>145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146</v>
      </c>
      <c r="AB10" s="374">
        <f>IF(ISNUMBER(Datos!R10),Datos!R10," - ")</f>
        <v>99</v>
      </c>
      <c r="AC10" s="374">
        <f t="shared" ref="AC10:AC13" si="1">IF(ISNUMBER(AA10+AB10),AA10+AB10," - ")</f>
        <v>245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0.92307692307692313</v>
      </c>
      <c r="AM10" s="284">
        <f>IF(ISNUMBER(((NºAsuntos!I10/NºAsuntos!G10)*11)/factor_trimestre),((NºAsuntos!I10/NºAsuntos!G10)*11)/factor_trimestre," - ")</f>
        <v>24.333333333333329</v>
      </c>
      <c r="AN10" s="267">
        <f>IF(ISNUMBER('Resol  Asuntos'!D10/NºAsuntos!G10),'Resol  Asuntos'!D10/NºAsuntos!G10," - ")</f>
        <v>0.5</v>
      </c>
      <c r="AO10" s="268">
        <f>IF(ISNUMBER((NºAsuntos!C10+NºAsuntos!E10)/NºAsuntos!G10),(NºAsuntos!C10+NºAsuntos!E10)/NºAsuntos!G10," - ")</f>
        <v>13.166666666666666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130</v>
      </c>
      <c r="Y11" s="374">
        <f t="shared" si="0"/>
        <v>130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84</v>
      </c>
      <c r="AJ11" s="245" t="str">
        <f>IF(ISNUMBER(Datos!BW11),Datos!BW11," - ")</f>
        <v xml:space="preserve"> - </v>
      </c>
      <c r="AK11" s="246" t="str">
        <f>IF(ISNUMBER(Datos!BX11),Datos!BX11," - ")</f>
        <v xml:space="preserve"> - </v>
      </c>
      <c r="AL11" s="266">
        <f>IF(ISNUMBER(NºAsuntos!G11/NºAsuntos!E11),NºAsuntos!G11/NºAsuntos!E11," - ")</f>
        <v>0.78592375366568912</v>
      </c>
      <c r="AM11" s="284">
        <f>IF(ISNUMBER(((NºAsuntos!I11/NºAsuntos!G11)*11)/factor_trimestre),((NºAsuntos!I11/NºAsuntos!G11)*11)/factor_trimestre," - ")</f>
        <v>12.455223880597014</v>
      </c>
      <c r="AN11" s="267">
        <f>IF(ISNUMBER('Resol  Asuntos'!D11/NºAsuntos!G11),'Resol  Asuntos'!D11/NºAsuntos!G11," - ")</f>
        <v>0.31343283582089554</v>
      </c>
      <c r="AO11" s="268">
        <f>IF(ISNUMBER((NºAsuntos!C11+NºAsuntos!E11)/NºAsuntos!G11),(NºAsuntos!C11+NºAsuntos!E11)/NºAsuntos!G11," - ")</f>
        <v>7.2276119402985071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145</v>
      </c>
      <c r="G14" s="1163">
        <f t="shared" si="5"/>
        <v>145</v>
      </c>
      <c r="H14" s="1162">
        <f t="shared" si="5"/>
        <v>0</v>
      </c>
      <c r="I14" s="1164">
        <f t="shared" si="5"/>
        <v>0</v>
      </c>
      <c r="J14" s="1164">
        <f t="shared" si="5"/>
        <v>0</v>
      </c>
      <c r="K14" s="1164">
        <f t="shared" si="5"/>
        <v>0</v>
      </c>
      <c r="L14" s="1164">
        <f t="shared" si="5"/>
        <v>556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682</v>
      </c>
      <c r="Y14" s="1165">
        <f t="shared" si="6"/>
        <v>694</v>
      </c>
      <c r="Z14" s="1165">
        <f t="shared" si="6"/>
        <v>0</v>
      </c>
      <c r="AA14" s="1165">
        <f t="shared" si="6"/>
        <v>146</v>
      </c>
      <c r="AB14" s="1165">
        <f t="shared" si="6"/>
        <v>13080</v>
      </c>
      <c r="AC14" s="1165">
        <f t="shared" si="6"/>
        <v>245</v>
      </c>
      <c r="AD14" s="1165">
        <f t="shared" si="6"/>
        <v>0</v>
      </c>
      <c r="AE14" s="1169">
        <f t="shared" si="6"/>
        <v>0</v>
      </c>
      <c r="AF14" s="1162">
        <f t="shared" si="6"/>
        <v>0</v>
      </c>
      <c r="AG14" s="1170">
        <f t="shared" si="6"/>
        <v>0</v>
      </c>
      <c r="AH14" s="1167">
        <f t="shared" si="6"/>
        <v>0</v>
      </c>
      <c r="AI14" s="1162">
        <f t="shared" si="6"/>
        <v>466</v>
      </c>
      <c r="AJ14" s="1164">
        <f t="shared" si="6"/>
        <v>0</v>
      </c>
      <c r="AK14" s="1167">
        <f>SUBTOTAL(9,AK9:AK13)</f>
        <v>0</v>
      </c>
      <c r="AL14" s="1171">
        <f>IF(ISNUMBER(NºAsuntos!G14/NºAsuntos!E14),NºAsuntos!G14/NºAsuntos!E14," - ")</f>
        <v>0.97730086669418081</v>
      </c>
      <c r="AM14" s="1171">
        <f>IF(ISNUMBER(((NºAsuntos!I14/NºAsuntos!G14)*11)/factor_trimestre),((NºAsuntos!I14/NºAsuntos!G14)*11)/factor_trimestre," - ")</f>
        <v>7.2939189189189193</v>
      </c>
      <c r="AN14" s="1172">
        <f>IF(ISNUMBER('Resol  Asuntos'!D14/NºAsuntos!G14),'Resol  Asuntos'!D14/NºAsuntos!G14," - ")</f>
        <v>0.19679054054054054</v>
      </c>
      <c r="AO14" s="1173">
        <f>IF(ISNUMBER((NºAsuntos!C14+NºAsuntos!E14)/NºAsuntos!G14),(NºAsuntos!C14+NºAsuntos!E14)/NºAsuntos!G14," - ")</f>
        <v>4.6731418918918921</v>
      </c>
      <c r="AP14" s="1174" t="str">
        <f t="shared" si="2"/>
        <v xml:space="preserve"> - </v>
      </c>
      <c r="AQ14" s="1174">
        <f>IF(ISNUMBER((H14-W14+K14)/(F14)),(H14-W14+K14)/(F14)," - ")</f>
        <v>-8.2758620689655171E-2</v>
      </c>
      <c r="AR14" s="1175">
        <f>IF(ISNUMBER((Datos!P14-Datos!Q14)/(Datos!R14-Datos!P14+Datos!Q14)),(Datos!P14-Datos!Q14)/(Datos!R14-Datos!P14+Datos!Q14)," - ")</f>
        <v>-9.5411176737846427E-3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2164</v>
      </c>
      <c r="G16" s="373">
        <f>IF(ISNUMBER(IF(D_I="SI",Datos!I16,Datos!I16+Datos!AC16)),IF(D_I="SI",Datos!I16,Datos!I16+Datos!AC16)," - ")</f>
        <v>2143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2492</v>
      </c>
      <c r="X16" s="240">
        <f>IF(ISNUMBER(Datos!Q16),Datos!Q16," - ")</f>
        <v>83</v>
      </c>
      <c r="Y16" s="374">
        <f>SUM(W16)</f>
        <v>2492</v>
      </c>
      <c r="Z16" s="375" t="str">
        <f>IF(ISNUMBER(Datos!CC16),Datos!CC16," - ")</f>
        <v xml:space="preserve"> - </v>
      </c>
      <c r="AA16" s="372">
        <f>IF(ISNUMBER(IF(D_I="SI",Datos!L16,Datos!L16+Datos!AF16)),IF(D_I="SI",Datos!L16,Datos!L16+Datos!AF16)," - ")</f>
        <v>2175</v>
      </c>
      <c r="AB16" s="374">
        <f>IF(ISNUMBER(Datos!R16),Datos!R16," - ")</f>
        <v>463</v>
      </c>
      <c r="AC16" s="374">
        <f t="shared" ref="AC16:AC22" si="8">IF(ISNUMBER(AA16+AB16),AA16+AB16," - ")</f>
        <v>2638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317</v>
      </c>
      <c r="AJ16" s="245" t="str">
        <f>IF(ISNUMBER(Datos!BW16),Datos!BW16," - ")</f>
        <v xml:space="preserve"> - </v>
      </c>
      <c r="AK16" s="246" t="str">
        <f>IF(ISNUMBER(Datos!BX16),Datos!BX16," - ")</f>
        <v xml:space="preserve"> - </v>
      </c>
      <c r="AL16" s="266">
        <f>IF(ISNUMBER(NºAsuntos!G16/NºAsuntos!E16),NºAsuntos!G16/NºAsuntos!E16," - ")</f>
        <v>0.99560527367159413</v>
      </c>
      <c r="AM16" s="284">
        <f>IF(ISNUMBER(((NºAsuntos!I16/NºAsuntos!G16)*11)/factor_trimestre),((NºAsuntos!I16/NºAsuntos!G16)*11)/factor_trimestre," - ")</f>
        <v>1.745585874799358</v>
      </c>
      <c r="AN16" s="267">
        <f>IF(ISNUMBER('Resol  Asuntos'!D16/NºAsuntos!G16),'Resol  Asuntos'!D16/NºAsuntos!G16," - ")</f>
        <v>0.12720706260032102</v>
      </c>
      <c r="AO16" s="268">
        <f>IF(ISNUMBER((NºAsuntos!C16+NºAsuntos!E16)/NºAsuntos!G16),(NºAsuntos!C16+NºAsuntos!E16)/NºAsuntos!G16," - ")</f>
        <v>1.8643659711075442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202</v>
      </c>
      <c r="X18" s="240">
        <f>IF(ISNUMBER(Datos!Q18),Datos!Q18," - ")</f>
        <v>1</v>
      </c>
      <c r="Y18" s="374">
        <f t="shared" si="9"/>
        <v>203</v>
      </c>
      <c r="Z18" s="375" t="str">
        <f>IF(ISNUMBER(Datos!CC18),Datos!CC18," - ")</f>
        <v xml:space="preserve"> - </v>
      </c>
      <c r="AA18" s="372">
        <f>IF(ISNUMBER(Datos!L18),Datos!L18,"-")</f>
        <v>319</v>
      </c>
      <c r="AB18" s="374">
        <f>IF(ISNUMBER(Datos!R18),Datos!R18," - ")</f>
        <v>8</v>
      </c>
      <c r="AC18" s="374">
        <f t="shared" si="8"/>
        <v>327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0.91402714932126694</v>
      </c>
      <c r="AM18" s="284">
        <f>IF(ISNUMBER(((NºAsuntos!I18/NºAsuntos!G18)*11)/factor_trimestre),((NºAsuntos!I18/NºAsuntos!G18)*11)/factor_trimestre," - ")</f>
        <v>3.1584158415841586</v>
      </c>
      <c r="AN18" s="267">
        <f>IF(ISNUMBER('Resol  Asuntos'!D18/NºAsuntos!G18),'Resol  Asuntos'!D18/NºAsuntos!G18," - ")</f>
        <v>0.13366336633663367</v>
      </c>
      <c r="AO18" s="268">
        <f>IF(ISNUMBER((NºAsuntos!C18+NºAsuntos!E18)/NºAsuntos!G18),(NºAsuntos!C18+NºAsuntos!E18)/NºAsuntos!G18," - ")</f>
        <v>2.5445544554455446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2164</v>
      </c>
      <c r="G23" s="1163">
        <f>SUBTOTAL(9,G16:G22)</f>
        <v>2436</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2694</v>
      </c>
      <c r="X23" s="1164">
        <f t="shared" si="14"/>
        <v>84</v>
      </c>
      <c r="Y23" s="1165">
        <f t="shared" si="14"/>
        <v>2695</v>
      </c>
      <c r="Z23" s="1165">
        <f t="shared" si="14"/>
        <v>0</v>
      </c>
      <c r="AA23" s="1165">
        <f t="shared" si="14"/>
        <v>2494</v>
      </c>
      <c r="AB23" s="1165">
        <f t="shared" si="14"/>
        <v>471</v>
      </c>
      <c r="AC23" s="1165">
        <f t="shared" si="14"/>
        <v>2965</v>
      </c>
      <c r="AD23" s="1165">
        <f t="shared" si="14"/>
        <v>0</v>
      </c>
      <c r="AE23" s="1169">
        <f t="shared" si="14"/>
        <v>0</v>
      </c>
      <c r="AF23" s="1162">
        <f t="shared" si="14"/>
        <v>0</v>
      </c>
      <c r="AG23" s="1170">
        <f t="shared" si="14"/>
        <v>0</v>
      </c>
      <c r="AH23" s="1167">
        <f t="shared" si="14"/>
        <v>0</v>
      </c>
      <c r="AI23" s="1162">
        <f t="shared" si="14"/>
        <v>344</v>
      </c>
      <c r="AJ23" s="1164">
        <f t="shared" si="14"/>
        <v>0</v>
      </c>
      <c r="AK23" s="1167">
        <f t="shared" si="14"/>
        <v>0</v>
      </c>
      <c r="AL23" s="1171">
        <f>IF(ISNUMBER(NºAsuntos!G23/NºAsuntos!E23),NºAsuntos!G23/NºAsuntos!E23," - ")</f>
        <v>0.98898678414096919</v>
      </c>
      <c r="AM23" s="1171">
        <f>IF(ISNUMBER(((NºAsuntos!I23/NºAsuntos!G23)*11)/factor_trimestre),((NºAsuntos!I23/NºAsuntos!G23)*11)/factor_trimestre," - ")</f>
        <v>1.8515219005196732</v>
      </c>
      <c r="AN23" s="1172">
        <f>IF(ISNUMBER('Resol  Asuntos'!D23/NºAsuntos!G23),'Resol  Asuntos'!D23/NºAsuntos!G23," - ")</f>
        <v>0.12769116555308091</v>
      </c>
      <c r="AO23" s="1173">
        <f>IF(ISNUMBER((NºAsuntos!C23+NºAsuntos!E23)/NºAsuntos!G23),(NºAsuntos!C23+NºAsuntos!E23)/NºAsuntos!G23," - ")</f>
        <v>1.9153674832962138</v>
      </c>
      <c r="AP23" s="1174" t="str">
        <f t="shared" si="2"/>
        <v xml:space="preserve"> - </v>
      </c>
      <c r="AQ23" s="1174">
        <f>IF(ISNUMBER((H23-W23+K23)/(F23)),(H23-W23+K23)/(F23)," - ")</f>
        <v>-1.2449168207024031</v>
      </c>
      <c r="AR23" s="1175">
        <f>IF(ISNUMBER((Datos!P23-Datos!Q23)/(Datos!R23-Datos!P23+Datos!Q23)),(Datos!P23-Datos!Q23)/(Datos!R23-Datos!P23+Datos!Q23)," - ")</f>
        <v>-4.6558704453441298E-2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2309</v>
      </c>
      <c r="G31" s="1118">
        <f t="shared" si="20"/>
        <v>2581</v>
      </c>
      <c r="H31" s="1117">
        <f t="shared" si="20"/>
        <v>0</v>
      </c>
      <c r="I31" s="1119">
        <f t="shared" si="20"/>
        <v>0</v>
      </c>
      <c r="J31" s="1119">
        <f t="shared" si="20"/>
        <v>0</v>
      </c>
      <c r="K31" s="1180">
        <f t="shared" si="20"/>
        <v>0</v>
      </c>
      <c r="L31" s="1119">
        <f t="shared" si="20"/>
        <v>617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2706</v>
      </c>
      <c r="X31" s="1118">
        <f t="shared" si="21"/>
        <v>766</v>
      </c>
      <c r="Y31" s="1125">
        <f t="shared" si="21"/>
        <v>3389</v>
      </c>
      <c r="Z31" s="1125">
        <f t="shared" si="21"/>
        <v>0</v>
      </c>
      <c r="AA31" s="1125">
        <f t="shared" si="21"/>
        <v>2640</v>
      </c>
      <c r="AB31" s="1125">
        <f t="shared" si="21"/>
        <v>13551</v>
      </c>
      <c r="AC31" s="1125">
        <f t="shared" si="21"/>
        <v>3210</v>
      </c>
      <c r="AD31" s="1125">
        <f t="shared" si="21"/>
        <v>0</v>
      </c>
      <c r="AE31" s="1127">
        <f t="shared" si="21"/>
        <v>0</v>
      </c>
      <c r="AF31" s="1128">
        <f t="shared" si="21"/>
        <v>0</v>
      </c>
      <c r="AG31" s="1129">
        <f t="shared" si="21"/>
        <v>0</v>
      </c>
      <c r="AH31" s="1127">
        <f t="shared" si="21"/>
        <v>0</v>
      </c>
      <c r="AI31" s="1117">
        <f t="shared" si="21"/>
        <v>810</v>
      </c>
      <c r="AJ31" s="1117">
        <f t="shared" si="21"/>
        <v>0</v>
      </c>
      <c r="AK31" s="1127">
        <f t="shared" si="21"/>
        <v>0</v>
      </c>
      <c r="AL31" s="1183">
        <f>IF(ISNUMBER(NºAsuntos!G31/NºAsuntos!E31),NºAsuntos!G31/NºAsuntos!E31," - ")</f>
        <v>0.98348552554886337</v>
      </c>
      <c r="AM31" s="1184">
        <f>IF(ISNUMBER(((NºAsuntos!I31/NºAsuntos!G31)*11)/factor_trimestre),((NºAsuntos!I31/NºAsuntos!G31)*11)/factor_trimestre," - ")</f>
        <v>4.3974713551955746</v>
      </c>
      <c r="AN31" s="1184">
        <f>IF(ISNUMBER('Resol  Asuntos'!D31/NºAsuntos!G31),'Resol  Asuntos'!D31/NºAsuntos!G31," - ")</f>
        <v>0.16001580403002766</v>
      </c>
      <c r="AO31" s="1185">
        <f>IF(ISNUMBER((NºAsuntos!C31+NºAsuntos!E31)/NºAsuntos!G31),(NºAsuntos!C31+NºAsuntos!E31)/NºAsuntos!G31," - ")</f>
        <v>3.2054523903595418</v>
      </c>
      <c r="AP31" s="1186" t="str">
        <f t="shared" si="2"/>
        <v xml:space="preserve"> - </v>
      </c>
      <c r="AQ31" s="1187">
        <f>IF(OR(ISNUMBER(FIND("01",Criterios!A8,1)),ISNUMBER(FIND("02",Criterios!A8,1)),ISNUMBER(FIND("03",Criterios!A8,1)),ISNUMBER(FIND("04",Criterios!A8,1))),(I31-W31+K31)/(F31-K31),(H31-W31+K31)/(F31-K31))</f>
        <v>-1.1719359029883065</v>
      </c>
      <c r="AR31" s="1188">
        <f>IF(ISNUMBER((Datos!P31-Datos!Q31)/(Datos!R31-Datos!P31+Datos!Q31)),(Datos!P31-Datos!Q31)/(Datos!R31-Datos!P31+Datos!Q31)," - ")</f>
        <v>-1.0875912408759124E-2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2.5351332479369448</v>
      </c>
      <c r="F33" s="276">
        <f>IF(ISNUMBER(STDEV(F8:F30)),STDEV(F8:F30),"-")</f>
        <v>1081.9908810459849</v>
      </c>
      <c r="G33" s="277">
        <f>IF(ISNUMBER(STDEV(G8:G30)),STDEV(G8:G30),"-")</f>
        <v>1068.319374398071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1246.6316521693473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189.36678108310809</v>
      </c>
      <c r="AJ33" s="276">
        <f t="shared" si="25"/>
        <v>0</v>
      </c>
      <c r="AK33" s="278">
        <f t="shared" si="25"/>
        <v>0</v>
      </c>
      <c r="AL33" s="273">
        <f t="shared" si="25"/>
        <v>7.782605657630251E-2</v>
      </c>
      <c r="AM33" s="274">
        <f t="shared" si="25"/>
        <v>8.0557390283710841</v>
      </c>
      <c r="AN33" s="274">
        <f t="shared" si="25"/>
        <v>0.13761780868997747</v>
      </c>
      <c r="AO33" s="275">
        <f t="shared" si="25"/>
        <v>4.0325184094903408</v>
      </c>
      <c r="AP33" s="317" t="str">
        <f t="shared" si="25"/>
        <v>-</v>
      </c>
      <c r="AQ33" s="318">
        <f t="shared" si="25"/>
        <v>0.82176994404056602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3hVqY6yLrcmRKLF4ZK7ty4WpzleLd5mbYw/BlXJWawI0hr6xFNuWed6iquBaDd11ycnMxFmi8nkYrdDrZf7RA==" saltValue="wERdk3yMl5EzxROy4NuD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GUADALAJARA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6.5155807365439092E-2</v>
      </c>
      <c r="I9" s="395">
        <f>IF(ISNUMBER((Tasas!C9-Datos!BE9)/Datos!BE9),(Tasas!C9-Datos!BE9)/Datos!BE9," - ")</f>
        <v>-0.13545690188996984</v>
      </c>
      <c r="J9" s="394">
        <f>IF(ISNUMBER((Tasas!D9-Datos!BF9)/Datos!BF9),(Tasas!D9-Datos!BF9)/Datos!BF9," - ")</f>
        <v>-0.59848396444755636</v>
      </c>
      <c r="K9" s="396">
        <f>IF(ISNUMBER((Tasas!E9-Datos!BG9)/Datos!BG9),(Tasas!E9-Datos!BG9)/Datos!BG9," - ")</f>
        <v>-0.10611331151081266</v>
      </c>
      <c r="M9" t="e">
        <f>IF(Monitorios="SI",Datos!CE9,0)</f>
        <v>#REF!</v>
      </c>
      <c r="N9" t="e">
        <f>IF(Monitorios="SI",Datos!CF9,0)</f>
        <v>#REF!</v>
      </c>
      <c r="O9" t="e">
        <f>IF(Monitorios="SI",Datos!CG9,0)</f>
        <v>#REF!</v>
      </c>
      <c r="P9" t="e">
        <f>IF(Monitorios="SI",Datos!CH9,0)</f>
        <v>#REF!</v>
      </c>
      <c r="Q9">
        <f>IF(J_V="SI",0,Datos!AG9)</f>
        <v>154</v>
      </c>
      <c r="R9">
        <f>IF(J_V="SI",0,Datos!AH9)</f>
        <v>87</v>
      </c>
      <c r="S9">
        <f>IF(J_V="SI",0,Datos!AI9)</f>
        <v>77</v>
      </c>
      <c r="T9">
        <f>IF(J_V="SI",0,Datos!AJ9)</f>
        <v>158</v>
      </c>
    </row>
    <row r="10" spans="2:20" ht="14.25">
      <c r="B10" s="300" t="s">
        <v>317</v>
      </c>
      <c r="C10" s="7" t="str">
        <f>Datos!A10</f>
        <v>Jdos. Violencia contra la mujer</v>
      </c>
      <c r="D10" s="397">
        <f>IF(ISNUMBER((Datos!I10-Datos!S10)/Datos!S10),(Datos!I10-Datos!S10)/Datos!S10," - ")</f>
        <v>-8.8050314465408799E-2</v>
      </c>
      <c r="E10" s="393">
        <f>IF(ISNUMBER((Datos!J10-Datos!T10)/Datos!T10),(Datos!J10-Datos!T10)/Datos!T10," - ")</f>
        <v>-0.56666666666666665</v>
      </c>
      <c r="F10" s="393">
        <f>IF(ISNUMBER((Datos!K10-Datos!U10)/Datos!U10),(Datos!K10-Datos!U10)/Datos!U10," - ")</f>
        <v>-0.52</v>
      </c>
      <c r="G10" s="394">
        <f>IF(ISNUMBER((Datos!L10-Datos!V10)/Datos!V10),(Datos!L10-Datos!V10)/Datos!V10," - ")</f>
        <v>-0.10975609756097561</v>
      </c>
      <c r="H10" s="244">
        <f>IF(ISNUMBER((Datos!M10-Datos!W10)/Datos!W10),(Datos!M10-Datos!W10)/Datos!W10," - ")</f>
        <v>-0.5</v>
      </c>
      <c r="I10" s="395">
        <f>IF(ISNUMBER((Tasas!C10-Datos!BE10)/Datos!BE10),(Tasas!C10-Datos!BE10)/Datos!BE10," - ")</f>
        <v>0.85467479674796754</v>
      </c>
      <c r="J10" s="394">
        <f>IF(ISNUMBER((Tasas!D10-Datos!BF10)/Datos!BF10),(Tasas!D10-Datos!BF10)/Datos!BF10," - ")</f>
        <v>4.1666666666666706E-2</v>
      </c>
      <c r="K10" s="396">
        <f>IF(ISNUMBER((Tasas!E10-Datos!BG10)/Datos!BG10),(Tasas!E10-Datos!BG10)/Datos!BG10," - ")</f>
        <v>0.74162257495590833</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-0.43243243243243246</v>
      </c>
      <c r="I11" s="395">
        <f>IF(ISNUMBER((Tasas!C11-Datos!BE11)/Datos!BE11),(Tasas!C11-Datos!BE11)/Datos!BE11," - ")</f>
        <v>0.50291271878399924</v>
      </c>
      <c r="J11" s="394">
        <f>IF(ISNUMBER((Tasas!D11-Datos!BF11)/Datos!BF11),(Tasas!D11-Datos!BF11)/Datos!BF11," - ")</f>
        <v>-5.4154008717474479E-2</v>
      </c>
      <c r="K11" s="396">
        <f>IF(ISNUMBER((Tasas!E11-Datos!BG11)/Datos!BG11),(Tasas!E11-Datos!BG11)/Datos!BG11," - ")</f>
        <v>0.4051400636498238</v>
      </c>
      <c r="M11" t="e">
        <f>IF(Monitorios="SI",Datos!CE11,0)</f>
        <v>#REF!</v>
      </c>
      <c r="N11" t="e">
        <f>IF(Monitorios="SI",Datos!CF11,0)</f>
        <v>#REF!</v>
      </c>
      <c r="O11" t="e">
        <f>IF(Monitorios="SI",Datos!CG11,0)</f>
        <v>#REF!</v>
      </c>
      <c r="P11" t="e">
        <f>IF(Monitorios="SI",Datos!CH11,0)</f>
        <v>#REF!</v>
      </c>
      <c r="Q11">
        <f>IF(J_V="SI",0,Datos!AG11)</f>
        <v>363</v>
      </c>
      <c r="R11">
        <f>IF(J_V="SI",0,Datos!AH11)</f>
        <v>103</v>
      </c>
      <c r="S11">
        <f>IF(J_V="SI",0,Datos!AI11)</f>
        <v>72</v>
      </c>
      <c r="T11">
        <f>IF(J_V="SI",0,Datos!AJ11)</f>
        <v>394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9</v>
      </c>
      <c r="R12">
        <f>IF(J_V="SI",0,Datos!AH12)</f>
        <v>7</v>
      </c>
      <c r="S12">
        <f>IF(J_V="SI",0,Datos!AI12)</f>
        <v>7</v>
      </c>
      <c r="T12">
        <f>IF(J_V="SI",0,Datos!AJ12)</f>
        <v>9</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-9.1617933723196876E-2</v>
      </c>
      <c r="I14" s="402">
        <f>IF(ISNUMBER((Tasas!C14-Datos!BE14)/Datos!BE14),(Tasas!C14-Datos!BE14)/Datos!BE14," - ")</f>
        <v>-5.6591735651123479E-2</v>
      </c>
      <c r="J14" s="400">
        <f>IF(ISNUMBER((Tasas!D14-Datos!BF14)/Datos!BF14),(Tasas!D14-Datos!BF14)/Datos!BF14," - ")</f>
        <v>-0.5443871180963572</v>
      </c>
      <c r="K14" s="403">
        <f>IF(ISNUMBER((Tasas!E14-Datos!BG14)/Datos!BG14),(Tasas!E14-Datos!BG14)/Datos!BG14," - ")</f>
        <v>-4.4099468959019547E-2</v>
      </c>
      <c r="M14" t="e">
        <f>IF(Monitorios="SI",Datos!CE14,0)</f>
        <v>#REF!</v>
      </c>
      <c r="N14" t="e">
        <f>IF(Monitorios="SI",Datos!CF14,0)</f>
        <v>#REF!</v>
      </c>
      <c r="O14" t="e">
        <f>IF(Monitorios="SI",Datos!CG14,0)</f>
        <v>#REF!</v>
      </c>
      <c r="P14" t="e">
        <f>IF(Monitorios="SI",Datos!CH14,0)</f>
        <v>#REF!</v>
      </c>
      <c r="Q14">
        <f>IF(J_V="SI",0,Datos!AG14)</f>
        <v>526</v>
      </c>
      <c r="R14">
        <f>IF(J_V="SI",0,Datos!AH14)</f>
        <v>197</v>
      </c>
      <c r="S14">
        <f>IF(J_V="SI",0,Datos!AI14)</f>
        <v>156</v>
      </c>
      <c r="T14">
        <f>IF(J_V="SI",0,Datos!AJ14)</f>
        <v>561</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-5.6778169014084508E-2</v>
      </c>
      <c r="E16" s="393">
        <f>IF(ISNUMBER(
   IF(D_I="SI",(Datos!J16-Datos!T16)/Datos!T16,(Datos!J16+Datos!AD16-(Datos!T16+Datos!AL16))/(Datos!T16+Datos!AL16))
     ),IF(D_I="SI",(Datos!J16-Datos!T16)/Datos!T16,(Datos!J16+Datos!AD16-(Datos!T16+Datos!AL16))/(Datos!T16+Datos!AL16))," - ")</f>
        <v>0.10361552028218694</v>
      </c>
      <c r="F16" s="393">
        <f>IF(ISNUMBER(
   IF(D_I="SI",(Datos!K16-Datos!U16)/Datos!U16,(Datos!K16+Datos!AE16-(Datos!U16+Datos!AM16))/(Datos!U16+Datos!AM16))
     ),IF(D_I="SI",(Datos!K16-Datos!U16)/Datos!U16,(Datos!K16+Datos!AE16-(Datos!U16+Datos!AM16))/(Datos!U16+Datos!AM16))," - ")</f>
        <v>0.10706352732119058</v>
      </c>
      <c r="G16" s="394">
        <f>IF(ISNUMBER(
   IF(D_I="SI",(Datos!L16-Datos!V16)/Datos!V16,(Datos!L16+Datos!AF16-(Datos!V16+Datos!AN16))/(Datos!V16+Datos!AN16))
     ),IF(D_I="SI",(Datos!L16-Datos!V16)/Datos!V16,(Datos!L16+Datos!AF16-(Datos!V16+Datos!AN16))/(Datos!V16+Datos!AN16))," - ")</f>
        <v>-5.884898312418866E-2</v>
      </c>
      <c r="H16" s="244">
        <f>IF(ISNUMBER((Datos!M16-Datos!W16)/Datos!W16),(Datos!M16-Datos!W16)/Datos!W16," - ")</f>
        <v>-1.8575851393188854E-2</v>
      </c>
      <c r="I16" s="395">
        <f>IF(ISNUMBER((Tasas!C16-Datos!BE16)/Datos!BE16),(Tasas!C16-Datos!BE16)/Datos!BE16," - ")</f>
        <v>-0.1498671994432379</v>
      </c>
      <c r="J16" s="394">
        <f>IF(ISNUMBER((Tasas!D16-Datos!BF16)/Datos!BF16),(Tasas!D16-Datos!BF16)/Datos!BF16," - ")</f>
        <v>-0.11348886094946549</v>
      </c>
      <c r="K16" s="396">
        <f>IF(ISNUMBER((Tasas!E16-Datos!BG16)/Datos!BG16),(Tasas!E16-Datos!BG16)/Datos!BG16," - ")</f>
        <v>-7.5619427100642678E-2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-0.44083969465648853</v>
      </c>
      <c r="E18" s="393">
        <f>IF(ISNUMBER(
   IF(D_I="SI",(Datos!J18-Datos!T18)/Datos!T18,(Datos!J18+Datos!AD18-(Datos!T18+Datos!AL18))/(Datos!T18+Datos!AL18))
     ),IF(D_I="SI",(Datos!J18-Datos!T18)/Datos!T18,(Datos!J18+Datos!AD18-(Datos!T18+Datos!AL18))/(Datos!T18+Datos!AL18))," - ")</f>
        <v>-0.35190615835777128</v>
      </c>
      <c r="F18" s="393">
        <f>IF(ISNUMBER(
   IF(D_I="SI",(Datos!K18-Datos!U18)/Datos!U18,(Datos!K18+Datos!AE18-(Datos!U18+Datos!AM18))/(Datos!U18+Datos!AM18))
     ),IF(D_I="SI",(Datos!K18-Datos!U18)/Datos!U18,(Datos!K18+Datos!AE18-(Datos!U18+Datos!AM18))/(Datos!U18+Datos!AM18))," - ")</f>
        <v>-0.48337595907928388</v>
      </c>
      <c r="G18" s="394">
        <f>IF(ISNUMBER(
   IF(D_I="SI",(Datos!L18-Datos!V18)/Datos!V18,(Datos!L18+Datos!AF18-(Datos!V18+Datos!AN18))/(Datos!V18+Datos!AN18))
     ),IF(D_I="SI",(Datos!L18-Datos!V18)/Datos!V18,(Datos!L18+Datos!AF18-(Datos!V18+Datos!AN18))/(Datos!V18+Datos!AN18))," - ")</f>
        <v>-0.33123689727463312</v>
      </c>
      <c r="H18" s="244">
        <f>IF(ISNUMBER((Datos!M18-Datos!W18)/Datos!W18),(Datos!M18-Datos!W18)/Datos!W18," - ")</f>
        <v>-0.18181818181818182</v>
      </c>
      <c r="I18" s="395">
        <f>IF(ISNUMBER((Tasas!C18-Datos!BE18)/Datos!BE18),(Tasas!C18-Datos!BE18)/Datos!BE18," - ")</f>
        <v>0.2944869958693983</v>
      </c>
      <c r="J18" s="394">
        <f>IF(ISNUMBER((Tasas!D18-Datos!BF18)/Datos!BF18),(Tasas!D18-Datos!BF18)/Datos!BF18," - ")</f>
        <v>0.58370837083708393</v>
      </c>
      <c r="K18" s="396">
        <f>IF(ISNUMBER((Tasas!E18-Datos!BG18)/Datos!BG18),(Tasas!E18-Datos!BG18)/Datos!BG18," - ")</f>
        <v>0.15019744749041369</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-0.12875536480686695</v>
      </c>
      <c r="E23" s="399">
        <f>IF(ISNUMBER(
   IF(D_I="SI",(Datos!J23-Datos!T23)/Datos!T23,(Datos!J23+Datos!AD23-(Datos!T23+Datos!AL23))/(Datos!T23+Datos!AL23))
     ),IF(D_I="SI",(Datos!J23-Datos!T23)/Datos!T23,(Datos!J23+Datos!AD23-(Datos!T23+Datos!AL23))/(Datos!T23+Datos!AL23))," - ")</f>
        <v>4.4078190877730933E-2</v>
      </c>
      <c r="F23" s="399">
        <f>IF(ISNUMBER(
   IF(D_I="SI",(Datos!K23-Datos!U23)/Datos!U23,(Datos!K23+Datos!AE23-(Datos!U23+Datos!AM23))/(Datos!U23+Datos!AM23))
     ),IF(D_I="SI",(Datos!K23-Datos!U23)/Datos!U23,(Datos!K23+Datos!AE23-(Datos!U23+Datos!AM23))/(Datos!U23+Datos!AM23))," - ")</f>
        <v>1.968205904617714E-2</v>
      </c>
      <c r="G23" s="400">
        <f>IF(ISNUMBER(
   IF(D_I="SI",(Datos!L23-Datos!V23)/Datos!V23,(Datos!L23+Datos!AF23-(Datos!V23+Datos!AN23))/(Datos!V23+Datos!AN23))
     ),IF(D_I="SI",(Datos!L23-Datos!V23)/Datos!V23,(Datos!L23+Datos!AF23-(Datos!V23+Datos!AN23))/(Datos!V23+Datos!AN23))," - ")</f>
        <v>-0.1054519368723099</v>
      </c>
      <c r="H23" s="401">
        <f>IF(ISNUMBER((Datos!M23-Datos!W23)/Datos!W23),(Datos!M23-Datos!W23)/Datos!W23," - ")</f>
        <v>-3.3707865168539325E-2</v>
      </c>
      <c r="I23" s="402">
        <f>IF(ISNUMBER((Tasas!C23-Datos!BE23)/Datos!BE23),(Tasas!C23-Datos!BE23)/Datos!BE23," - ")</f>
        <v>-0.12271864039222084</v>
      </c>
      <c r="J23" s="400">
        <f>IF(ISNUMBER((Tasas!D23-Datos!BF23)/Datos!BF23),(Tasas!D23-Datos!BF23)/Datos!BF23," - ")</f>
        <v>-5.2359383732472585E-2</v>
      </c>
      <c r="K23" s="403">
        <f>IF(ISNUMBER((Tasas!E23-Datos!BG23)/Datos!BG23),(Tasas!E23-Datos!BG23)/Datos!BG23," - ")</f>
        <v>-6.3755616860574085E-2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6.5412919051512676E-3</v>
      </c>
      <c r="E31" s="409">
        <f>IF(ISNUMBER(
   IF(J_V="SI",(Datos!J31-Datos!T31)/Datos!T31,(Datos!J31+Datos!Z31-(Datos!T31+Datos!AH31))/(Datos!T31+Datos!AH31))
     ),IF(J_V="SI",(Datos!J31-Datos!T31)/Datos!T31,(Datos!J31+Datos!Z31-(Datos!T31+Datos!AH31))/(Datos!T31+Datos!AH31))," - ")</f>
        <v>6.9839950114321342E-2</v>
      </c>
      <c r="F31" s="409">
        <f>IF(ISNUMBER(
   IF(J_V="SI",(Datos!K31-Datos!U31)/Datos!U31,(Datos!K31+Datos!AA31-(Datos!U31+Datos!AI31))/(Datos!U31+Datos!AI31))
     ),IF(J_V="SI",(Datos!K31-Datos!U31)/Datos!U31,(Datos!K31+Datos!AA31-(Datos!U31+Datos!AI31))/(Datos!U31+Datos!AI31))," - ")</f>
        <v>6.0771165129924559E-2</v>
      </c>
      <c r="G31" s="410">
        <f>IF(ISNUMBER(
   IF(J_V="SI",(Datos!L31-Datos!V31)/Datos!V31,(Datos!L31+Datos!AB31-(Datos!V31+Datos!AJ31))/(Datos!V31+Datos!AJ31))
     ),IF(J_V="SI",(Datos!L31-Datos!V31)/Datos!V31,(Datos!L31+Datos!AB31-(Datos!V31+Datos!AJ31))/(Datos!V31+Datos!AJ31))," - ")</f>
        <v>9.7985846488840497E-3</v>
      </c>
      <c r="H31" s="411">
        <f>IF(ISNUMBER((Datos!M31-Datos!W31)/Datos!W31),(Datos!M31-Datos!W31)/Datos!W31," - ")</f>
        <v>-6.789413118527042E-2</v>
      </c>
      <c r="I31" s="408">
        <f>IF(ISNUMBER((Tasas!C31-Datos!BE31)/Datos!BE31),(Tasas!C31-Datos!BE31)/Datos!BE31," - ")</f>
        <v>-4.8052381283193453E-2</v>
      </c>
      <c r="J31" s="409">
        <f>IF(ISNUMBER((Tasas!D31-Datos!BF31)/Datos!BF31),(Tasas!D31-Datos!BF31)/Datos!BF31," - ")</f>
        <v>-0.4015709899441286</v>
      </c>
      <c r="K31" s="410">
        <f>IF(ISNUMBER((Tasas!E31-Datos!BG31)/Datos!BG31),(Tasas!E31-Datos!BG31)/Datos!BG31," - ")</f>
        <v>-3.2973902718691779E-2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0.17728879361808861</v>
      </c>
      <c r="E33" s="303">
        <f t="shared" si="1"/>
        <v>0.32096960723589857</v>
      </c>
      <c r="F33" s="303">
        <f t="shared" si="1"/>
        <v>0.32852300657960615</v>
      </c>
      <c r="G33" s="304">
        <f t="shared" si="1"/>
        <v>0.12213710334376743</v>
      </c>
      <c r="H33" s="310">
        <f t="shared" si="1"/>
        <v>0.21635464296083048</v>
      </c>
      <c r="I33" s="302">
        <f t="shared" si="1"/>
        <v>0.39322459503809976</v>
      </c>
      <c r="J33" s="303">
        <f t="shared" si="1"/>
        <v>0.39535749904710116</v>
      </c>
      <c r="K33" s="304">
        <f t="shared" si="1"/>
        <v>0.32008290460348754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uW8L3C8KsCWVx91boVUt13dlIfj8uRDDhgUSla1dr1GpsBWsz5YUwMhDNNOO+bZ6p+DYrh27ljXQkEnmG2n1Q==" saltValue="zvXakhBzuhVkJvEvV5Yr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